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stgb\Desktop\"/>
    </mc:Choice>
  </mc:AlternateContent>
  <bookViews>
    <workbookView xWindow="-15" yWindow="4830" windowWidth="16140" windowHeight="4890"/>
  </bookViews>
  <sheets>
    <sheet name="Calculations" sheetId="4" r:id="rId1"/>
    <sheet name="Notes, Instructions" sheetId="5" r:id="rId2"/>
    <sheet name="Tables" sheetId="2" r:id="rId3"/>
  </sheets>
  <definedNames>
    <definedName name="Alert">Calculations!$C$20</definedName>
    <definedName name="OrificeDiameter">#REF!</definedName>
    <definedName name="_xlnm.Print_Area" localSheetId="0">Calculations!$A$1:$G$54</definedName>
    <definedName name="_xlnm.Print_Area" localSheetId="1">'Notes, Instructions'!$A$1:$C$123</definedName>
    <definedName name="_xlnm.Print_Area" localSheetId="2">Tables!$A$1:$S$115</definedName>
    <definedName name="TargetFlow">#REF!</definedName>
    <definedName name="TrenchLength">#REF!</definedName>
  </definedNames>
  <calcPr calcId="162913"/>
</workbook>
</file>

<file path=xl/calcChain.xml><?xml version="1.0" encoding="utf-8"?>
<calcChain xmlns="http://schemas.openxmlformats.org/spreadsheetml/2006/main">
  <c r="D8" i="4" l="1"/>
  <c r="D6" i="4"/>
  <c r="D7" i="4"/>
  <c r="D9" i="4"/>
  <c r="D10" i="4"/>
  <c r="D11" i="4"/>
  <c r="D20" i="4"/>
  <c r="H20" i="4"/>
  <c r="D12" i="4"/>
  <c r="D13" i="4"/>
  <c r="D14" i="4"/>
  <c r="D32" i="4"/>
  <c r="C35" i="4"/>
  <c r="D37" i="4"/>
  <c r="D39" i="4"/>
  <c r="D50" i="4"/>
  <c r="D51" i="4"/>
  <c r="C52" i="4"/>
  <c r="A9" i="2"/>
  <c r="C9" i="2"/>
  <c r="D9" i="2"/>
  <c r="E9" i="2"/>
  <c r="F9" i="2"/>
  <c r="G9" i="2"/>
  <c r="H9" i="2"/>
  <c r="I9" i="2"/>
  <c r="J9" i="2"/>
  <c r="K9" i="2"/>
  <c r="A10" i="2"/>
  <c r="C10" i="2"/>
  <c r="E10" i="2"/>
  <c r="F10" i="2"/>
  <c r="G10" i="2"/>
  <c r="H10" i="2"/>
  <c r="I10" i="2"/>
  <c r="J10" i="2"/>
  <c r="K10" i="2"/>
  <c r="L10" i="2"/>
  <c r="M10" i="2"/>
  <c r="N10" i="2"/>
  <c r="A11" i="2"/>
  <c r="C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A12" i="2"/>
  <c r="C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A13" i="2"/>
  <c r="C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A14" i="2"/>
  <c r="C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A15" i="2"/>
  <c r="C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A16" i="2"/>
  <c r="F16" i="2"/>
  <c r="G16" i="2"/>
  <c r="H16" i="2"/>
  <c r="I16" i="2"/>
  <c r="J16" i="2"/>
  <c r="K16" i="2"/>
  <c r="L16" i="2"/>
  <c r="M16" i="2"/>
  <c r="N16" i="2"/>
  <c r="O16" i="2"/>
  <c r="P16" i="2"/>
  <c r="Q16" i="2"/>
  <c r="A17" i="2"/>
  <c r="F17" i="2"/>
  <c r="G17" i="2"/>
  <c r="H17" i="2"/>
  <c r="I17" i="2"/>
  <c r="J17" i="2"/>
  <c r="K17" i="2"/>
  <c r="L17" i="2"/>
  <c r="M17" i="2"/>
  <c r="N17" i="2"/>
  <c r="O17" i="2"/>
  <c r="P17" i="2"/>
  <c r="Q17" i="2"/>
  <c r="A18" i="2"/>
  <c r="I18" i="2"/>
  <c r="J18" i="2"/>
  <c r="K18" i="2"/>
  <c r="L18" i="2"/>
  <c r="M18" i="2"/>
  <c r="N18" i="2"/>
  <c r="O18" i="2"/>
  <c r="P18" i="2"/>
  <c r="Q18" i="2"/>
  <c r="A19" i="2"/>
  <c r="I19" i="2"/>
  <c r="J19" i="2"/>
  <c r="K19" i="2"/>
  <c r="L19" i="2"/>
  <c r="M19" i="2"/>
  <c r="N19" i="2"/>
  <c r="O19" i="2"/>
  <c r="P19" i="2"/>
  <c r="Q19" i="2"/>
  <c r="A20" i="2"/>
  <c r="L20" i="2"/>
  <c r="M20" i="2"/>
  <c r="N20" i="2"/>
  <c r="O20" i="2"/>
  <c r="P20" i="2"/>
  <c r="Q20" i="2"/>
  <c r="A21" i="2"/>
  <c r="L21" i="2"/>
  <c r="M21" i="2"/>
  <c r="N21" i="2"/>
  <c r="O21" i="2"/>
  <c r="P21" i="2"/>
  <c r="Q21" i="2"/>
  <c r="A22" i="2"/>
  <c r="L22" i="2"/>
  <c r="M22" i="2"/>
  <c r="N22" i="2"/>
  <c r="O22" i="2"/>
  <c r="P22" i="2"/>
  <c r="Q22" i="2"/>
  <c r="A23" i="2"/>
  <c r="L23" i="2"/>
  <c r="M23" i="2"/>
  <c r="N23" i="2"/>
  <c r="O23" i="2"/>
  <c r="P23" i="2"/>
  <c r="Q23" i="2"/>
  <c r="A24" i="2"/>
  <c r="O24" i="2"/>
  <c r="P24" i="2"/>
  <c r="Q24" i="2"/>
  <c r="A25" i="2"/>
  <c r="O25" i="2"/>
  <c r="P25" i="2"/>
  <c r="Q25" i="2"/>
  <c r="A26" i="2"/>
  <c r="A27" i="2"/>
  <c r="A28" i="2"/>
  <c r="A29" i="2"/>
  <c r="A30" i="2"/>
  <c r="A31" i="2"/>
  <c r="A32" i="2"/>
  <c r="A33" i="2"/>
  <c r="A46" i="2"/>
  <c r="A47" i="2"/>
  <c r="A48" i="2"/>
  <c r="A49" i="2"/>
  <c r="A50" i="2"/>
  <c r="A51" i="2"/>
  <c r="C51" i="2"/>
  <c r="D51" i="2"/>
  <c r="E51" i="2"/>
  <c r="A52" i="2"/>
  <c r="C52" i="2"/>
  <c r="D52" i="2"/>
  <c r="E52" i="2"/>
  <c r="A53" i="2"/>
  <c r="C53" i="2"/>
  <c r="D53" i="2"/>
  <c r="E53" i="2"/>
  <c r="F53" i="2"/>
  <c r="G53" i="2"/>
  <c r="H53" i="2"/>
  <c r="A54" i="2"/>
  <c r="C54" i="2"/>
  <c r="D54" i="2"/>
  <c r="E54" i="2"/>
  <c r="F54" i="2"/>
  <c r="G54" i="2"/>
  <c r="H54" i="2"/>
  <c r="I54" i="2"/>
  <c r="J54" i="2"/>
  <c r="K54" i="2"/>
  <c r="A55" i="2"/>
  <c r="C55" i="2"/>
  <c r="D55" i="2"/>
  <c r="E55" i="2"/>
  <c r="F55" i="2"/>
  <c r="G55" i="2"/>
  <c r="H55" i="2"/>
  <c r="I55" i="2"/>
  <c r="J55" i="2"/>
  <c r="K55" i="2"/>
  <c r="A56" i="2"/>
  <c r="C56" i="2"/>
  <c r="D56" i="2"/>
  <c r="E56" i="2"/>
  <c r="F56" i="2"/>
  <c r="G56" i="2"/>
  <c r="H56" i="2"/>
  <c r="I56" i="2"/>
  <c r="J56" i="2"/>
  <c r="K56" i="2"/>
  <c r="A57" i="2"/>
  <c r="C57" i="2"/>
  <c r="D57" i="2"/>
  <c r="E57" i="2"/>
  <c r="F57" i="2"/>
  <c r="G57" i="2"/>
  <c r="H57" i="2"/>
  <c r="I57" i="2"/>
  <c r="J57" i="2"/>
  <c r="K57" i="2"/>
  <c r="L57" i="2"/>
  <c r="M57" i="2"/>
  <c r="N57" i="2"/>
  <c r="A58" i="2"/>
  <c r="C58" i="2"/>
  <c r="D58" i="2"/>
  <c r="E58" i="2"/>
  <c r="F58" i="2"/>
  <c r="G58" i="2"/>
  <c r="H58" i="2"/>
  <c r="I58" i="2"/>
  <c r="J58" i="2"/>
  <c r="K58" i="2"/>
  <c r="L58" i="2"/>
  <c r="M58" i="2"/>
  <c r="N58" i="2"/>
  <c r="A59" i="2"/>
  <c r="C59" i="2"/>
  <c r="D59" i="2"/>
  <c r="E59" i="2"/>
  <c r="F59" i="2"/>
  <c r="G59" i="2"/>
  <c r="H59" i="2"/>
  <c r="I59" i="2"/>
  <c r="J59" i="2"/>
  <c r="K59" i="2"/>
  <c r="L59" i="2"/>
  <c r="M59" i="2"/>
  <c r="N59" i="2"/>
  <c r="A60" i="2"/>
  <c r="C60" i="2"/>
  <c r="D60" i="2"/>
  <c r="E60" i="2"/>
  <c r="F60" i="2"/>
  <c r="G60" i="2"/>
  <c r="H60" i="2"/>
  <c r="I60" i="2"/>
  <c r="J60" i="2"/>
  <c r="K60" i="2"/>
  <c r="L60" i="2"/>
  <c r="M60" i="2"/>
  <c r="N60" i="2"/>
  <c r="A61" i="2"/>
  <c r="C61" i="2"/>
  <c r="D61" i="2"/>
  <c r="E61" i="2"/>
  <c r="F61" i="2"/>
  <c r="G61" i="2"/>
  <c r="H61" i="2"/>
  <c r="I61" i="2"/>
  <c r="J61" i="2"/>
  <c r="K61" i="2"/>
  <c r="L61" i="2"/>
  <c r="M61" i="2"/>
  <c r="N61" i="2"/>
  <c r="A62" i="2"/>
  <c r="C62" i="2"/>
  <c r="D62" i="2"/>
  <c r="E62" i="2"/>
  <c r="F62" i="2"/>
  <c r="G62" i="2"/>
  <c r="H62" i="2"/>
  <c r="I62" i="2"/>
  <c r="J62" i="2"/>
  <c r="K62" i="2"/>
  <c r="L62" i="2"/>
  <c r="M62" i="2"/>
  <c r="N62" i="2"/>
  <c r="A63" i="2"/>
  <c r="C63" i="2"/>
  <c r="D63" i="2"/>
  <c r="E63" i="2"/>
  <c r="F63" i="2"/>
  <c r="G63" i="2"/>
  <c r="H63" i="2"/>
  <c r="I63" i="2"/>
  <c r="J63" i="2"/>
  <c r="K63" i="2"/>
  <c r="L63" i="2"/>
  <c r="M63" i="2"/>
  <c r="N63" i="2"/>
  <c r="A64" i="2"/>
  <c r="C64" i="2"/>
  <c r="D64" i="2"/>
  <c r="E64" i="2"/>
  <c r="F64" i="2"/>
  <c r="G64" i="2"/>
  <c r="H64" i="2"/>
  <c r="I64" i="2"/>
  <c r="J64" i="2"/>
  <c r="K64" i="2"/>
  <c r="L64" i="2"/>
  <c r="M64" i="2"/>
  <c r="N64" i="2"/>
  <c r="A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A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A67" i="2"/>
  <c r="F67" i="2"/>
  <c r="G67" i="2"/>
  <c r="H67" i="2"/>
  <c r="I67" i="2"/>
  <c r="J67" i="2"/>
  <c r="K67" i="2"/>
  <c r="L67" i="2"/>
  <c r="M67" i="2"/>
  <c r="N67" i="2"/>
  <c r="O67" i="2"/>
  <c r="P67" i="2"/>
  <c r="Q67" i="2"/>
  <c r="A68" i="2"/>
  <c r="F68" i="2"/>
  <c r="G68" i="2"/>
  <c r="H68" i="2"/>
  <c r="I68" i="2"/>
  <c r="J68" i="2"/>
  <c r="K68" i="2"/>
  <c r="L68" i="2"/>
  <c r="M68" i="2"/>
  <c r="N68" i="2"/>
  <c r="O68" i="2"/>
  <c r="P68" i="2"/>
  <c r="Q68" i="2"/>
  <c r="A69" i="2"/>
  <c r="I69" i="2"/>
  <c r="J69" i="2"/>
  <c r="K69" i="2"/>
  <c r="L69" i="2"/>
  <c r="M69" i="2"/>
  <c r="N69" i="2"/>
  <c r="O69" i="2"/>
  <c r="P69" i="2"/>
  <c r="Q69" i="2"/>
  <c r="A70" i="2"/>
  <c r="I70" i="2"/>
  <c r="J70" i="2"/>
  <c r="K70" i="2"/>
  <c r="L70" i="2"/>
  <c r="M70" i="2"/>
  <c r="N70" i="2"/>
  <c r="O70" i="2"/>
  <c r="P70" i="2"/>
  <c r="Q70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A83" i="2"/>
  <c r="G83" i="2"/>
  <c r="O83" i="2"/>
  <c r="N100" i="2"/>
  <c r="N102" i="2"/>
  <c r="N98" i="2"/>
  <c r="G109" i="2"/>
  <c r="J109" i="2"/>
  <c r="G110" i="2"/>
  <c r="J110" i="2"/>
  <c r="G111" i="2"/>
  <c r="J111" i="2"/>
  <c r="G112" i="2"/>
  <c r="J112" i="2"/>
  <c r="G113" i="2"/>
  <c r="J113" i="2"/>
  <c r="G114" i="2"/>
  <c r="J114" i="2"/>
  <c r="C121" i="2"/>
  <c r="D121" i="2"/>
  <c r="E121" i="2"/>
  <c r="F121" i="2"/>
  <c r="G121" i="2"/>
  <c r="H121" i="2"/>
  <c r="I121" i="2"/>
  <c r="J121" i="2"/>
  <c r="K121" i="2"/>
  <c r="L121" i="2"/>
  <c r="C122" i="2"/>
  <c r="D122" i="2"/>
  <c r="E122" i="2"/>
  <c r="F122" i="2"/>
  <c r="G122" i="2"/>
  <c r="H122" i="2"/>
  <c r="I122" i="2"/>
  <c r="J122" i="2"/>
  <c r="K122" i="2"/>
  <c r="L122" i="2"/>
  <c r="C123" i="2"/>
  <c r="D123" i="2"/>
  <c r="E123" i="2"/>
  <c r="F123" i="2"/>
  <c r="G123" i="2"/>
  <c r="H123" i="2"/>
  <c r="I123" i="2"/>
  <c r="J123" i="2"/>
  <c r="K123" i="2"/>
  <c r="L123" i="2"/>
  <c r="C124" i="2"/>
  <c r="D124" i="2"/>
  <c r="E124" i="2"/>
  <c r="F124" i="2"/>
  <c r="G124" i="2"/>
  <c r="H124" i="2"/>
  <c r="I124" i="2"/>
  <c r="J124" i="2"/>
  <c r="K124" i="2"/>
  <c r="L124" i="2"/>
  <c r="C125" i="2"/>
  <c r="D125" i="2"/>
  <c r="E125" i="2"/>
  <c r="F125" i="2"/>
  <c r="G125" i="2"/>
  <c r="H125" i="2"/>
  <c r="I125" i="2"/>
  <c r="J125" i="2"/>
  <c r="K125" i="2"/>
  <c r="L125" i="2"/>
  <c r="C126" i="2"/>
  <c r="D126" i="2"/>
  <c r="E126" i="2"/>
  <c r="F126" i="2"/>
  <c r="G126" i="2"/>
  <c r="H126" i="2"/>
  <c r="I126" i="2"/>
  <c r="J126" i="2"/>
  <c r="K126" i="2"/>
  <c r="L126" i="2"/>
  <c r="P83" i="2"/>
  <c r="H83" i="2"/>
  <c r="D54" i="4"/>
  <c r="G13" i="4"/>
  <c r="D16" i="4"/>
  <c r="D19" i="4"/>
  <c r="D23" i="4"/>
  <c r="D25" i="4"/>
  <c r="D26" i="4"/>
  <c r="D15" i="4"/>
  <c r="G14" i="4"/>
  <c r="B83" i="2"/>
  <c r="I83" i="2"/>
  <c r="Q83" i="2"/>
  <c r="N83" i="2"/>
  <c r="F83" i="2"/>
  <c r="J83" i="2"/>
  <c r="C83" i="2"/>
  <c r="K83" i="2"/>
  <c r="S83" i="2"/>
  <c r="A84" i="2"/>
  <c r="L83" i="2"/>
  <c r="D83" i="2"/>
  <c r="E83" i="2"/>
  <c r="M83" i="2"/>
  <c r="R83" i="2"/>
  <c r="D17" i="4"/>
  <c r="D18" i="4"/>
  <c r="D27" i="4"/>
  <c r="D36" i="4"/>
  <c r="F84" i="2"/>
  <c r="N84" i="2"/>
  <c r="C84" i="2"/>
  <c r="K84" i="2"/>
  <c r="S84" i="2"/>
  <c r="R84" i="2"/>
  <c r="O84" i="2"/>
  <c r="H84" i="2"/>
  <c r="P84" i="2"/>
  <c r="E84" i="2"/>
  <c r="M84" i="2"/>
  <c r="B84" i="2"/>
  <c r="G84" i="2"/>
  <c r="J84" i="2"/>
  <c r="L84" i="2"/>
  <c r="Q84" i="2"/>
  <c r="A85" i="2"/>
  <c r="D84" i="2"/>
  <c r="I84" i="2"/>
  <c r="D33" i="4"/>
  <c r="D34" i="4"/>
  <c r="D28" i="4"/>
  <c r="D29" i="4"/>
  <c r="D53" i="4"/>
  <c r="I85" i="2"/>
  <c r="Q85" i="2"/>
  <c r="F85" i="2"/>
  <c r="N85" i="2"/>
  <c r="B85" i="2"/>
  <c r="R85" i="2"/>
  <c r="C85" i="2"/>
  <c r="K85" i="2"/>
  <c r="S85" i="2"/>
  <c r="H85" i="2"/>
  <c r="P85" i="2"/>
  <c r="M85" i="2"/>
  <c r="E85" i="2"/>
  <c r="J85" i="2"/>
  <c r="G85" i="2"/>
  <c r="A86" i="2"/>
  <c r="O85" i="2"/>
  <c r="D85" i="2"/>
  <c r="L85" i="2"/>
  <c r="D38" i="4"/>
  <c r="D40" i="4"/>
  <c r="D47" i="4"/>
  <c r="D49" i="4"/>
  <c r="B86" i="2"/>
  <c r="J86" i="2"/>
  <c r="R86" i="2"/>
  <c r="G86" i="2"/>
  <c r="O86" i="2"/>
  <c r="C86" i="2"/>
  <c r="S86" i="2"/>
  <c r="D86" i="2"/>
  <c r="L86" i="2"/>
  <c r="A87" i="2"/>
  <c r="I86" i="2"/>
  <c r="Q86" i="2"/>
  <c r="F86" i="2"/>
  <c r="K86" i="2"/>
  <c r="N86" i="2"/>
  <c r="M86" i="2"/>
  <c r="E86" i="2"/>
  <c r="H86" i="2"/>
  <c r="P86" i="2"/>
  <c r="E87" i="2"/>
  <c r="M87" i="2"/>
  <c r="B87" i="2"/>
  <c r="J87" i="2"/>
  <c r="R87" i="2"/>
  <c r="F87" i="2"/>
  <c r="G87" i="2"/>
  <c r="O87" i="2"/>
  <c r="D87" i="2"/>
  <c r="L87" i="2"/>
  <c r="A88" i="2"/>
  <c r="Q87" i="2"/>
  <c r="I87" i="2"/>
  <c r="N87" i="2"/>
  <c r="H87" i="2"/>
  <c r="C87" i="2"/>
  <c r="P87" i="2"/>
  <c r="S87" i="2"/>
  <c r="K87" i="2"/>
  <c r="F88" i="2"/>
  <c r="N88" i="2"/>
  <c r="C88" i="2"/>
  <c r="K88" i="2"/>
  <c r="S88" i="2"/>
  <c r="B88" i="2"/>
  <c r="G88" i="2"/>
  <c r="H88" i="2"/>
  <c r="P88" i="2"/>
  <c r="E88" i="2"/>
  <c r="M88" i="2"/>
  <c r="J88" i="2"/>
  <c r="O88" i="2"/>
  <c r="R88" i="2"/>
  <c r="A89" i="2"/>
  <c r="I88" i="2"/>
  <c r="D88" i="2"/>
  <c r="Q88" i="2"/>
  <c r="L88" i="2"/>
  <c r="I89" i="2"/>
  <c r="Q89" i="2"/>
  <c r="F89" i="2"/>
  <c r="N89" i="2"/>
  <c r="C89" i="2"/>
  <c r="K89" i="2"/>
  <c r="S89" i="2"/>
  <c r="H89" i="2"/>
  <c r="P89" i="2"/>
  <c r="G89" i="2"/>
  <c r="D89" i="2"/>
  <c r="A90" i="2"/>
  <c r="E89" i="2"/>
  <c r="R89" i="2"/>
  <c r="M89" i="2"/>
  <c r="J89" i="2"/>
  <c r="B89" i="2"/>
  <c r="O89" i="2"/>
  <c r="L89" i="2"/>
  <c r="B90" i="2"/>
  <c r="J90" i="2"/>
  <c r="R90" i="2"/>
  <c r="I90" i="2"/>
  <c r="Q90" i="2"/>
  <c r="D90" i="2"/>
  <c r="L90" i="2"/>
  <c r="C90" i="2"/>
  <c r="K90" i="2"/>
  <c r="S90" i="2"/>
  <c r="P90" i="2"/>
  <c r="O90" i="2"/>
  <c r="F90" i="2"/>
  <c r="E90" i="2"/>
  <c r="M90" i="2"/>
  <c r="H90" i="2"/>
  <c r="G90" i="2"/>
  <c r="N90" i="2"/>
</calcChain>
</file>

<file path=xl/comments1.xml><?xml version="1.0" encoding="utf-8"?>
<comments xmlns="http://schemas.openxmlformats.org/spreadsheetml/2006/main">
  <authors>
    <author>MO-DHSS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Check minimum standards Table 2A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>Check minimum standards Table 2A</t>
        </r>
      </text>
    </comment>
    <comment ref="C8" authorId="0" shapeId="0">
      <text>
        <r>
          <rPr>
            <b/>
            <sz val="8"/>
            <color indexed="81"/>
            <rFont val="Tahoma"/>
            <family val="2"/>
          </rPr>
          <t>Calculate flows from multiple sources separately and enter total in input column</t>
        </r>
      </text>
    </comment>
    <comment ref="C9" authorId="0" shapeId="0">
      <text>
        <r>
          <rPr>
            <b/>
            <sz val="8"/>
            <color indexed="81"/>
            <rFont val="Tahoma"/>
            <family val="2"/>
          </rPr>
          <t>18" recommended (18" - 30" allowed);  check with local authority about shallow placement modifications</t>
        </r>
      </text>
    </comment>
    <comment ref="C10" authorId="0" shapeId="0">
      <text>
        <r>
          <rPr>
            <b/>
            <sz val="8"/>
            <color indexed="81"/>
            <rFont val="Tahoma"/>
            <family val="2"/>
          </rPr>
          <t>Generally, don't exceed lowest reported rate between the ground surface and 12 inches below the trench (Line2 +12")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>Trench bottom area can exceed calculated minimum for a more conservative design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Narrow trenches are recommended to better use the available soil absorption area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Trench length can exceed calculated minimum for a more conservative design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Should limit to less than 1,000 feet of trench per zone.  However, more than 6 zones would require a distribution method other than an alternating valve, such as solenoid valves or duplex pumps.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If demand dosing is used, zones will receive equal dose volumes and should be equal in size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Use separate sheets for multiple zones with different trench lengths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Use equal trench lengths if possible, and longest trenches, up to 100 feet, that will fit the site.  Minimum of two required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Generally, round up to use full length of trench product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1/2 gallon per foot of trench, recommended; add volume needed to fill supply line if it drains back to pump tank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Set operating pressure with a valve on each lateral line. Use between 2 feet and 8 feet. (default is 4 feet)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Use to optimize pump flow capacity (default is 1/4-inch)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Read from Table or calculate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Initial value used to help optimize pump capacity and cycle time.  Compare pump manufacturer's cycle time recommendations with Line31.  Confirm actual flow capacity (Line44) with pump performance curve.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Initial value used to select actual number of orifices per lateral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Use reason when selecting a different number of orifices, as it will affect required pump capacity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Actual flow.  10 to 40 gpm is typical.  Confirm sufficient pump capacity (line44 and 45) using pump performance curve.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Select pipe size for which flow rate (Line23) results in between 2 and 5 feet per second (fps)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Schedule 40 for example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Only used to proportion distribution in unequal length trenches in a zone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For unequal length trenches, length per orifice should not vary by more than 5%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Typically 2 or less doses per day and should not exceed 4 doses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Total doses for all zones</t>
        </r>
      </text>
    </comment>
    <comment ref="C38" authorId="0" shapeId="0">
      <text>
        <r>
          <rPr>
            <b/>
            <u/>
            <sz val="8"/>
            <color indexed="81"/>
            <rFont val="Tahoma"/>
            <family val="2"/>
          </rPr>
          <t xml:space="preserve">Add </t>
        </r>
        <r>
          <rPr>
            <b/>
            <sz val="8"/>
            <color indexed="81"/>
            <rFont val="Tahoma"/>
            <family val="2"/>
          </rPr>
          <t>time needed to fill supply line if it drains back to pump tank.  In the field, you can start with a drained system and time how long it takes to start to discharge at farthest lateral.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Total pump run time not including time needed to fill supply line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Difference in elevation (vertical distance) from low water level in pump tank to high point in pressure system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Length of supply/manifold pipe from pump to the last lateral line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Recommend using tables, such as from pipe manufacturer or SSPMA.  If tables are used, carry manual calculations through line 43.  (Calculator estimates equivalent length at 20% of straight length of supply/manifold pipe; be sure to include other losses on Line40.)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Round up to nearest 10 feet</t>
        </r>
      </text>
    </comment>
    <comment ref="C47" authorId="0" shapeId="0">
      <text>
        <r>
          <rPr>
            <b/>
            <sz val="8"/>
            <color indexed="81"/>
            <rFont val="Tahoma"/>
            <family val="2"/>
          </rPr>
          <t>Calculated value assumes equivalent length of fittings = 20% of the length of the supply pipe.  Use with caution and be sure to include any additional friction in Line40</t>
        </r>
      </text>
    </comment>
    <comment ref="C48" authorId="0" shapeId="0">
      <text>
        <r>
          <rPr>
            <b/>
            <sz val="8"/>
            <color indexed="81"/>
            <rFont val="Tahoma"/>
            <family val="2"/>
          </rPr>
          <t>Pressure losses in filters, alternating valves, etc. (if in psi, multiply by 2.31 to obtain feet of head)</t>
        </r>
      </text>
    </comment>
    <comment ref="C53" authorId="0" shapeId="0">
      <text>
        <r>
          <rPr>
            <b/>
            <sz val="8"/>
            <color indexed="81"/>
            <rFont val="Tahoma"/>
            <family val="2"/>
          </rPr>
          <t>Zone flow rate plus allowance of 2 gpm for flow through 5/32" siphon break or weep hole</t>
        </r>
      </text>
    </comment>
    <comment ref="C54" authorId="0" shapeId="0">
      <text>
        <r>
          <rPr>
            <b/>
            <sz val="8"/>
            <color indexed="81"/>
            <rFont val="Tahoma"/>
            <family val="2"/>
          </rPr>
          <t>When flow and head capacity are plotted on a pump's performance curve, that point must fall below the curve</t>
        </r>
      </text>
    </comment>
  </commentList>
</comments>
</file>

<file path=xl/sharedStrings.xml><?xml version="1.0" encoding="utf-8"?>
<sst xmlns="http://schemas.openxmlformats.org/spreadsheetml/2006/main" count="400" uniqueCount="255">
  <si>
    <t>Units</t>
  </si>
  <si>
    <t>Design daily wastewater flow</t>
  </si>
  <si>
    <t>gpd</t>
  </si>
  <si>
    <t>Soil loading rate from soil report</t>
  </si>
  <si>
    <t>Effective trench width</t>
  </si>
  <si>
    <t>Trench bottom area (minimum)</t>
  </si>
  <si>
    <t>gpd/sq.ft.</t>
  </si>
  <si>
    <t>Total trench length (minimum)</t>
  </si>
  <si>
    <t>sq.ft.</t>
  </si>
  <si>
    <t>Number of zones</t>
  </si>
  <si>
    <t>Length of trench per zone</t>
  </si>
  <si>
    <t>Trench depth</t>
  </si>
  <si>
    <t>inches</t>
  </si>
  <si>
    <t>Number of trenches per zone</t>
  </si>
  <si>
    <t>FLOW CALCULATIONS</t>
  </si>
  <si>
    <t>Operating head</t>
  </si>
  <si>
    <t>feet</t>
  </si>
  <si>
    <t>gpm</t>
  </si>
  <si>
    <t>Design daily wastewater flow per zone</t>
  </si>
  <si>
    <t>Zone dose volume</t>
  </si>
  <si>
    <t>gallons</t>
  </si>
  <si>
    <t>minutes</t>
  </si>
  <si>
    <t>TOTAL DYNAMIC HEAD CALCULATIONS</t>
  </si>
  <si>
    <t>ABSORPTION SYSTEM CALCULATIONS</t>
  </si>
  <si>
    <t>Elevation head</t>
  </si>
  <si>
    <t>Length of supply line</t>
  </si>
  <si>
    <t>Diameter of supply line</t>
  </si>
  <si>
    <t>Total equivalent length of supply line</t>
  </si>
  <si>
    <t>Friction head</t>
  </si>
  <si>
    <t>Supply line friction head</t>
  </si>
  <si>
    <t>feet length</t>
  </si>
  <si>
    <t>TDH</t>
  </si>
  <si>
    <t>Trench length, average (minimum)</t>
  </si>
  <si>
    <t>Notes/Recommendations</t>
  </si>
  <si>
    <t>Orifice (hole) diameter</t>
  </si>
  <si>
    <t>Line1 x Line2</t>
  </si>
  <si>
    <t>Number of units (bedrooms, seats, etc.)</t>
  </si>
  <si>
    <t>Line3 / Line5</t>
  </si>
  <si>
    <t>Line6 / Line7</t>
  </si>
  <si>
    <t>Line3 / Line9</t>
  </si>
  <si>
    <t>Line7 / Line9</t>
  </si>
  <si>
    <t>Line11 / Line12</t>
  </si>
  <si>
    <t>Dose cycles per day (total)</t>
  </si>
  <si>
    <t>Pump run time per day (approx.)</t>
  </si>
  <si>
    <t>Dose cycles per day (zone)</t>
  </si>
  <si>
    <t>MINIMUM PUMP CAPACITY REQUIRED</t>
  </si>
  <si>
    <t>0.5 x Line11</t>
  </si>
  <si>
    <t>D</t>
  </si>
  <si>
    <t>Number of orifices per lateral (equal length)</t>
  </si>
  <si>
    <t>Flow rate per zone (target)</t>
  </si>
  <si>
    <t>Number of orifices per zone (approx.)</t>
  </si>
  <si>
    <t>Line13 / Line20</t>
  </si>
  <si>
    <t>Design input</t>
  </si>
  <si>
    <t>Feet of lateral per orifice</t>
  </si>
  <si>
    <t>Trench length tolerance (plus or minus, max)</t>
  </si>
  <si>
    <t>Line17 x Line20</t>
  </si>
  <si>
    <t>Flow rate per lateral (equal length)</t>
  </si>
  <si>
    <t>Number of orifices per zone (equal length laterals)</t>
  </si>
  <si>
    <t>Line20 x Line12</t>
  </si>
  <si>
    <t>0.05 x Line24</t>
  </si>
  <si>
    <t>Line17 x Line22</t>
  </si>
  <si>
    <t>Line10 / Line14</t>
  </si>
  <si>
    <t>Line14 / Line23</t>
  </si>
  <si>
    <t>Line3 / Line14</t>
  </si>
  <si>
    <t>TIMER CONTROL CALCULATIONS</t>
  </si>
  <si>
    <t>Dose time ON each cycle</t>
  </si>
  <si>
    <t>Determine at site</t>
  </si>
  <si>
    <t>From site layout</t>
  </si>
  <si>
    <t>Line15</t>
  </si>
  <si>
    <t>Line23 + 2</t>
  </si>
  <si>
    <t>Flow capacity</t>
  </si>
  <si>
    <t>PRESSURE MANIFOLD CALCULATION SHEET INSTRUCTIONS</t>
  </si>
  <si>
    <t>Line19 / Line12(Round)</t>
  </si>
  <si>
    <t>Line18 / Line17(Round)</t>
  </si>
  <si>
    <t>Calculate flows from multiple sources separately and enter total in input column</t>
  </si>
  <si>
    <t>18" recommended (18" - 30" allowed);  check with local authority about shallow placement modifications</t>
  </si>
  <si>
    <t>Narrow trenches are recommended to better use the available soil absorption area</t>
  </si>
  <si>
    <t>Trench length can exceed calculated minimum for a more conservative design</t>
  </si>
  <si>
    <t>Trench bottom area can exceed calculated minimum for a more conservative design</t>
  </si>
  <si>
    <t>Line7 / 1000 (Round up)</t>
  </si>
  <si>
    <t>If demand dosing is used, zones will receive equal dose volumes and should be equal in size</t>
  </si>
  <si>
    <t>Line11 / 100 (Round up)</t>
  </si>
  <si>
    <t>Use separate sheets for multiple zones with different trench lengths</t>
  </si>
  <si>
    <t>Generally, round up to use full length of trench product</t>
  </si>
  <si>
    <t>Initial value used to select actual number of orifices per lateral</t>
  </si>
  <si>
    <t>(±) feet</t>
  </si>
  <si>
    <t>Difference in elevation (vertical distance) from low water level in pump tank to high point in pressure system</t>
  </si>
  <si>
    <t>Typically less than 2 doses and should not exceed 4 doses</t>
  </si>
  <si>
    <t>Time OFF between doses</t>
  </si>
  <si>
    <t>Total doses for all zones</t>
  </si>
  <si>
    <t>Total pump run time not including time needed to fill supply line</t>
  </si>
  <si>
    <t>Round up to nearest 10 feet</t>
  </si>
  <si>
    <t>Zone flow rate plus allowance for flow through 5/32" siphon break or weep hole</t>
  </si>
  <si>
    <t>NA</t>
  </si>
  <si>
    <t>Pipe Class/ Schedule</t>
  </si>
  <si>
    <t>L (feet) = Pipe length ( = 100' for table)</t>
  </si>
  <si>
    <t>D (inches) = Inside Diameter</t>
  </si>
  <si>
    <r>
      <t xml:space="preserve">   = 0.0408 * (D)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*L</t>
    </r>
  </si>
  <si>
    <t>V (gallons) = Pipe volume</t>
  </si>
  <si>
    <r>
      <t>V = π * (D/24)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*L*7.48</t>
    </r>
  </si>
  <si>
    <t>Diameter (inches)</t>
  </si>
  <si>
    <t xml:space="preserve"> </t>
  </si>
  <si>
    <t>as a function of nominal pipe diameter and class/ schedule</t>
  </si>
  <si>
    <t>Pipe storage capacity - gallons per 100-feet</t>
  </si>
  <si>
    <t>Q (gpm) = Flow in pipe segment</t>
  </si>
  <si>
    <t xml:space="preserve">          (feet per second) and should be selected with caution.</t>
  </si>
  <si>
    <t>H (feet) = Pressure loss</t>
  </si>
  <si>
    <r>
      <t>H = 10.44 * L * (Q/C)</t>
    </r>
    <r>
      <rPr>
        <vertAlign val="superscript"/>
        <sz val="10"/>
        <rFont val="Arial"/>
        <family val="2"/>
      </rPr>
      <t>1.852</t>
    </r>
    <r>
      <rPr>
        <sz val="10"/>
        <rFont val="Arial"/>
      </rPr>
      <t xml:space="preserve"> * D</t>
    </r>
    <r>
      <rPr>
        <vertAlign val="superscript"/>
        <sz val="10"/>
        <rFont val="Arial"/>
        <family val="2"/>
      </rPr>
      <t>-4.871</t>
    </r>
    <r>
      <rPr>
        <sz val="10"/>
        <rFont val="Arial"/>
      </rPr>
      <t xml:space="preserve"> </t>
    </r>
  </si>
  <si>
    <t xml:space="preserve">Note:  Values in shaded areas are at velocities over 5 fps </t>
  </si>
  <si>
    <t>fps</t>
  </si>
  <si>
    <t>psi</t>
  </si>
  <si>
    <t>gph</t>
  </si>
  <si>
    <t>Velocity</t>
  </si>
  <si>
    <t>Pressure Drop</t>
  </si>
  <si>
    <t>Flow</t>
  </si>
  <si>
    <t>as a function of flow rate and nominal pipe diameter in inches</t>
  </si>
  <si>
    <t>Pressure Loss per 100-feet of Schedule 40 PVC and Velocity</t>
  </si>
  <si>
    <t>L (feet) = Pipe length ( = 100 for table)</t>
  </si>
  <si>
    <t>h (feet) = Pressure head at orifice</t>
  </si>
  <si>
    <t>D (inches) = Orifice diameter</t>
  </si>
  <si>
    <t>Q (gpm) = Flow through orifice</t>
  </si>
  <si>
    <t>psi = pounds per square inch</t>
  </si>
  <si>
    <t>Orifice diameter (inches)</t>
  </si>
  <si>
    <t>Pressure Head</t>
  </si>
  <si>
    <t>as a function of pressure head and drilled hole diameter in PVC pipe</t>
  </si>
  <si>
    <t>Orifice Flow Rate in gallons per minute (gpm)</t>
  </si>
  <si>
    <t xml:space="preserve">  Nominal Pipe Diameter   (inches)</t>
  </si>
  <si>
    <t xml:space="preserve">       gpm for 2 fps        (minimum recommended)</t>
  </si>
  <si>
    <t xml:space="preserve">       gpm for 5 fps        (maximum recommended)</t>
  </si>
  <si>
    <t>Flow Rate (gpm) Needed to Effectively Scour Schedule 40 Pipe</t>
  </si>
  <si>
    <t>2 fps is the generally accepted minimum pipe scouring velocity</t>
  </si>
  <si>
    <t>C is a constant ( = 150 used for PVC)</t>
  </si>
  <si>
    <t>Table 3:</t>
  </si>
  <si>
    <t>Table 2:</t>
  </si>
  <si>
    <t>Table 1b:</t>
  </si>
  <si>
    <t>Table 1a:</t>
  </si>
  <si>
    <t>Supply line friction head / 100 feet</t>
  </si>
  <si>
    <t>Length of supply/manifold pipe from pump to the last lateral line</t>
  </si>
  <si>
    <t>Add on friction (if any)</t>
  </si>
  <si>
    <t>Flow rate per orifice (see Table 2)</t>
  </si>
  <si>
    <t>Head capacity</t>
  </si>
  <si>
    <t>When flow and head capacity are plotted on a pump's performance curve, that point must fall below the curve</t>
  </si>
  <si>
    <t>PRESSURE MANIFOLD CALCULATION TOOL</t>
  </si>
  <si>
    <t>Type of PVC pipe</t>
  </si>
  <si>
    <t>SUPPLY ID</t>
  </si>
  <si>
    <t>Col</t>
  </si>
  <si>
    <t>Row</t>
  </si>
  <si>
    <t>Calculated Output</t>
  </si>
  <si>
    <t>A</t>
  </si>
  <si>
    <t>B</t>
  </si>
  <si>
    <t>Add time needed to fill supply line if it drains back to pump tank.  In the field, you can start with a drained system and time how long it takes to start to discharge at farthest lateral.</t>
  </si>
  <si>
    <t>C</t>
  </si>
  <si>
    <t>E</t>
  </si>
  <si>
    <t>F</t>
  </si>
  <si>
    <t>Velocity in supply/manifold pipe</t>
  </si>
  <si>
    <t>1440 / Line30 - Line31</t>
  </si>
  <si>
    <t>Line30 x Line31</t>
  </si>
  <si>
    <t>Line38 x Line37 /100</t>
  </si>
  <si>
    <t>Line39 + Line40</t>
  </si>
  <si>
    <t>Line34 + Line41 + Line42</t>
  </si>
  <si>
    <t>1/2 gallon per foot of trench, recommended; add volume needed to fill supply line if it drains back to pump tank</t>
  </si>
  <si>
    <t>Actual flow.  10 to 40 gpm is typical.  Confirm sufficient pump capacity (line44 and 45) using pump performance curve.</t>
  </si>
  <si>
    <t>G</t>
  </si>
  <si>
    <t>•4 Yard box for access</t>
  </si>
  <si>
    <t>•7 Any accepted conventional gravity trench material or product</t>
  </si>
  <si>
    <t>•6 Capped pipe with drilled holes</t>
  </si>
  <si>
    <t>•1 Manifold line with tee at each lateral</t>
  </si>
  <si>
    <t>•2 Valve used to adjust pressure at each lateral</t>
  </si>
  <si>
    <t>•3 Tee with threaded adapter to attach standpipe or a cap with a hole</t>
  </si>
  <si>
    <t>P V C  PIPE TABLES</t>
  </si>
  <si>
    <t>Residential</t>
  </si>
  <si>
    <t>ELEVATION HEAD</t>
  </si>
  <si>
    <t>FRICTION HEAD</t>
  </si>
  <si>
    <t>OPERATING HEAD</t>
  </si>
  <si>
    <t>feet/sec</t>
  </si>
  <si>
    <r>
      <t>Trench bottom area</t>
    </r>
    <r>
      <rPr>
        <sz val="12"/>
        <rFont val="Arial"/>
        <family val="2"/>
      </rPr>
      <t xml:space="preserve"> (minimum)</t>
    </r>
  </si>
  <si>
    <r>
      <t>Total trench length</t>
    </r>
    <r>
      <rPr>
        <sz val="12"/>
        <rFont val="Arial"/>
        <family val="2"/>
      </rPr>
      <t xml:space="preserve"> (minimum)</t>
    </r>
  </si>
  <si>
    <r>
      <t>Number of orifices per lateral</t>
    </r>
    <r>
      <rPr>
        <sz val="12"/>
        <rFont val="Arial"/>
        <family val="2"/>
      </rPr>
      <t xml:space="preserve"> (equal length)</t>
    </r>
  </si>
  <si>
    <r>
      <t>Flow rate per zone</t>
    </r>
    <r>
      <rPr>
        <sz val="12"/>
        <rFont val="Arial"/>
        <family val="2"/>
      </rPr>
      <t xml:space="preserve"> (equal length laterals)</t>
    </r>
  </si>
  <si>
    <t>Trench length, average</t>
  </si>
  <si>
    <t>Length of trench per zone (minimum)</t>
  </si>
  <si>
    <t>From component supplier(s)</t>
  </si>
  <si>
    <t>Missouri Department of Health and Senior Services, Onsite Wastewater Treatment Program</t>
  </si>
  <si>
    <t>15" chamber</t>
  </si>
  <si>
    <t>12" EPS bundle</t>
  </si>
  <si>
    <t>22" chamber</t>
  </si>
  <si>
    <t>34" chamber</t>
  </si>
  <si>
    <t>18" gravel</t>
  </si>
  <si>
    <t>24" gravel</t>
  </si>
  <si>
    <t>10" gravelless</t>
  </si>
  <si>
    <t>36" gravel</t>
  </si>
  <si>
    <t>Select</t>
  </si>
  <si>
    <t>Input</t>
  </si>
  <si>
    <t>Effective trench width, based on type of trench material</t>
  </si>
  <si>
    <t>See manifold schematic diagrams below.</t>
  </si>
  <si>
    <t>designing  pressure manifold systems.  Site factors may dictate different trench lengths or other modifications.</t>
  </si>
  <si>
    <t>Click on Calculations Sheet tab.  For new calculations, you can click the reset button to start with the default numbers.</t>
  </si>
  <si>
    <t>Comply with all state and local standards and permit requirements.</t>
  </si>
  <si>
    <r>
      <t xml:space="preserve">Defaults are provided as a starting point.  </t>
    </r>
    <r>
      <rPr>
        <b/>
        <sz val="11"/>
        <rFont val="Arial"/>
        <family val="2"/>
      </rPr>
      <t>Adjust default numbers</t>
    </r>
    <r>
      <rPr>
        <sz val="11"/>
        <rFont val="Arial"/>
        <family val="2"/>
      </rPr>
      <t xml:space="preserve"> to optimize pump requirements or to work with a prefered pump.</t>
    </r>
  </si>
  <si>
    <t>This calculator is a tool and not intended to substitute for sound design judgement.  It is not the only method for</t>
  </si>
  <si>
    <t>Number of units</t>
  </si>
  <si>
    <t>Flow per unit</t>
  </si>
  <si>
    <t>Use buttons at top of calculation sheet to print worksheets.</t>
  </si>
  <si>
    <t>•5 Dam to prevent effluent from draining into manifold trench</t>
  </si>
  <si>
    <t>Install system with a standpipe, or a cap with a hole drilled in it, at #3.  Use valve,</t>
  </si>
  <si>
    <t xml:space="preserve"> #2, to adjust equal head or squirt height in each lateral.  Install solid caps at #3.</t>
  </si>
  <si>
    <t>The manifold and supply pipes should drain completely, either back to the</t>
  </si>
  <si>
    <t xml:space="preserve"> pump tank or to the trenches</t>
  </si>
  <si>
    <t>Number of orifices per zone</t>
  </si>
  <si>
    <t>Flow rate per zone</t>
  </si>
  <si>
    <r>
      <t xml:space="preserve">Defaults are provided below as a starting point.  </t>
    </r>
    <r>
      <rPr>
        <b/>
        <sz val="11"/>
        <rFont val="Arial"/>
        <family val="2"/>
      </rPr>
      <t>Adjust default numbers</t>
    </r>
    <r>
      <rPr>
        <sz val="11"/>
        <rFont val="Arial"/>
        <family val="2"/>
      </rPr>
      <t xml:space="preserve"> to optimize pump requirements or to use a prefered pump.</t>
    </r>
  </si>
  <si>
    <t xml:space="preserve"> shorter trenches, increase total length, or round up trench lengths.  Entries less than the minimum calculated values are not allowed.</t>
  </si>
  <si>
    <t>Use caution in selecting a different number of orfices, as it will affect required pump capacity</t>
  </si>
  <si>
    <t>Select pipe size for which flow rate (Line23) results in between 2 and 5 feet/second (fps)</t>
  </si>
  <si>
    <t>Pressure losses in filters, alternating valves, etc. (if in psi, multiply by 2.31 to obtain feet)</t>
  </si>
  <si>
    <t>INSTALLATION</t>
  </si>
  <si>
    <r>
      <t xml:space="preserve">Use to optimize pump flow capacity </t>
    </r>
    <r>
      <rPr>
        <b/>
        <sz val="11"/>
        <rFont val="Arial"/>
        <family val="2"/>
      </rPr>
      <t>(Default is 1/4-inch)</t>
    </r>
  </si>
  <si>
    <t>MANUAL CALCULATIONS:</t>
  </si>
  <si>
    <t>ELECTRONIC CALCULATIONS:</t>
  </si>
  <si>
    <t>Bedrooms</t>
  </si>
  <si>
    <t>Line43</t>
  </si>
  <si>
    <t>Calculate using line# formulas and tables.  Double check manual calculations.</t>
  </si>
  <si>
    <r>
      <t>Enter data in the ORANGE cells.</t>
    </r>
    <r>
      <rPr>
        <sz val="11"/>
        <rFont val="Arial"/>
        <family val="2"/>
      </rPr>
      <t xml:space="preserve">  (Use 'Enter' or the down arrow key to move to next cell.  Use "Backspace" to clear a cell)</t>
    </r>
  </si>
  <si>
    <t>D (inches) = Actual pipe inside diameter</t>
  </si>
  <si>
    <t>Nominal Pipe Diameter to Actual Inside Diameter Conversion (inches)</t>
  </si>
  <si>
    <t>Schedule 40 for example</t>
  </si>
  <si>
    <t>Should limit to 1,000 feet of trench per zone.  However, more than 6 zones would require a dist. method other than an alternating valve, such as solenoid valvess or duplex pumps.</t>
  </si>
  <si>
    <t>Flow per unit (Table 2A, Onsite Minimum Standards)</t>
  </si>
  <si>
    <r>
      <t xml:space="preserve">Initial value used to help optimize pump capacity and cycle time.  Compare pump manufacturer's cycle time recommendations with Line31.  Confirm actual flow capacity (Line44) with pump performance curve.  </t>
    </r>
    <r>
      <rPr>
        <b/>
        <sz val="11"/>
        <rFont val="Arial"/>
        <family val="2"/>
      </rPr>
      <t>(Default is 25 gpm)</t>
    </r>
  </si>
  <si>
    <r>
      <t>Q = 11.79 * D</t>
    </r>
    <r>
      <rPr>
        <vertAlign val="superscript"/>
        <sz val="11"/>
        <color indexed="8"/>
        <rFont val="Helv"/>
      </rPr>
      <t>2</t>
    </r>
    <r>
      <rPr>
        <sz val="11"/>
        <color indexed="0"/>
        <rFont val="Helv"/>
      </rPr>
      <t xml:space="preserve"> * √h</t>
    </r>
  </si>
  <si>
    <t>Table 4</t>
  </si>
  <si>
    <t>Table 5:</t>
  </si>
  <si>
    <t>From Table 4</t>
  </si>
  <si>
    <t>Check Tables 1, 4</t>
  </si>
  <si>
    <t>Check Minimum Construction Standards Table 2A in the Onsite Sewage Rule</t>
  </si>
  <si>
    <t>Manual Calculation Formula</t>
  </si>
  <si>
    <t>If velocity &lt; 2 fps, smaller pipe is recommended; if &gt; 5 fps, larger pipe is recommended</t>
  </si>
  <si>
    <t>From mfg. or SSMPA tables</t>
  </si>
  <si>
    <t>Equivalent length of fittings, total</t>
  </si>
  <si>
    <t>From Table 1a or 1b</t>
  </si>
  <si>
    <t>Generally, don't exceed lowest reported rate between the ground surface and 12 inches below the trench (Line4 +12")</t>
  </si>
  <si>
    <t>Use equal trench lengths if possible, and longest trenches, up to 100 feet, that will fit the site.  A minimum of two trenches is required</t>
  </si>
  <si>
    <r>
      <t>11.79 x (Line16)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x √Line15</t>
    </r>
  </si>
  <si>
    <r>
      <t xml:space="preserve">Enter data in the yellow cells (optional), </t>
    </r>
    <r>
      <rPr>
        <sz val="11"/>
        <rFont val="Arial"/>
        <family val="2"/>
      </rPr>
      <t>to adjust for site conditions or to make the design more conservative.   For example, to use</t>
    </r>
  </si>
  <si>
    <t>Use of the timer control calculations is optional, but recommended.</t>
  </si>
  <si>
    <t>As an alternative to completing the TDH calculations, pump suppliers can assist if you provide the site elevations and supply line length.</t>
  </si>
  <si>
    <t>Read from Table 2 or calculate using the formula provided</t>
  </si>
  <si>
    <t>For unequal length trenches, the length per orifice should not vary by more than 5%</t>
  </si>
  <si>
    <t>Only used to proportion distribution in unequal length trenches in a zone (see next note)</t>
  </si>
  <si>
    <t>Recommended as an alternative to demand dosing</t>
  </si>
  <si>
    <t xml:space="preserve">Use equivalent length of fittings can be more accurate.  Compare with calculated value. </t>
  </si>
  <si>
    <r>
      <t xml:space="preserve">Set operating pressure with a valve on each lateral line. Use between 2 feet and 8 feet. </t>
    </r>
    <r>
      <rPr>
        <b/>
        <sz val="11"/>
        <rFont val="Arial"/>
        <family val="2"/>
      </rPr>
      <t>(Default is 4 feet)</t>
    </r>
  </si>
  <si>
    <t>If friction is calculated manually using equivalent lengths of fittings, enter TDH on line 45</t>
  </si>
  <si>
    <r>
      <t xml:space="preserve">Recommend using tables, such as from pipe manufacturer or SSPMA.  </t>
    </r>
    <r>
      <rPr>
        <b/>
        <sz val="11"/>
        <rFont val="Arial"/>
        <family val="2"/>
      </rPr>
      <t>If tables are used, carry manual calculations through line 45.</t>
    </r>
    <r>
      <rPr>
        <sz val="11"/>
        <rFont val="Arial"/>
        <family val="2"/>
      </rPr>
      <t xml:space="preserve">  (Calculator estimates equivalent length at 20% of straight length of supply/manifold pipe; </t>
    </r>
    <r>
      <rPr>
        <b/>
        <sz val="11"/>
        <rFont val="Arial"/>
        <family val="2"/>
      </rPr>
      <t>be sure to include other losses on Line40</t>
    </r>
    <r>
      <rPr>
        <sz val="11"/>
        <rFont val="Arial"/>
        <family val="2"/>
      </rPr>
      <t>.)</t>
    </r>
  </si>
  <si>
    <t>Line35 + Line36 (round 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</si>
</sst>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sz val="10"/>
      <name val="Arial"/>
      <family val="2"/>
    </font>
    <font>
      <sz val="11"/>
      <color indexed="0"/>
      <name val="Helv"/>
    </font>
    <font>
      <sz val="14"/>
      <name val="Helv"/>
    </font>
    <font>
      <vertAlign val="superscript"/>
      <sz val="10"/>
      <name val="Arial"/>
      <family val="2"/>
    </font>
    <font>
      <sz val="11"/>
      <name val="Helv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indexed="0"/>
      <name val="Arial"/>
      <family val="2"/>
    </font>
    <font>
      <vertAlign val="superscript"/>
      <sz val="11"/>
      <color indexed="8"/>
      <name val="Helv"/>
    </font>
    <font>
      <i/>
      <sz val="12"/>
      <name val="Arial"/>
      <family val="2"/>
    </font>
    <font>
      <sz val="12"/>
      <color indexed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u/>
      <sz val="8"/>
      <color indexed="81"/>
      <name val="Tahoma"/>
      <family val="2"/>
    </font>
    <font>
      <sz val="11"/>
      <color indexed="10"/>
      <name val="Arial"/>
      <family val="2"/>
    </font>
    <font>
      <b/>
      <sz val="8"/>
      <color indexed="81"/>
      <name val="Tahoma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Alignment="1">
      <alignment horizontal="right"/>
    </xf>
    <xf numFmtId="0" fontId="5" fillId="2" borderId="1" xfId="0" applyFont="1" applyFill="1" applyBorder="1" applyAlignment="1" applyProtection="1">
      <alignment horizontal="right"/>
      <protection locked="0"/>
    </xf>
    <xf numFmtId="0" fontId="8" fillId="0" borderId="0" xfId="0" applyFont="1"/>
    <xf numFmtId="0" fontId="1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vertical="center"/>
    </xf>
    <xf numFmtId="164" fontId="5" fillId="2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165" fontId="9" fillId="0" borderId="3" xfId="0" applyNumberFormat="1" applyFont="1" applyBorder="1" applyAlignment="1" applyProtection="1">
      <alignment horizontal="center"/>
    </xf>
    <xf numFmtId="165" fontId="9" fillId="0" borderId="4" xfId="0" applyNumberFormat="1" applyFont="1" applyBorder="1" applyAlignment="1" applyProtection="1">
      <alignment horizontal="center"/>
    </xf>
    <xf numFmtId="165" fontId="9" fillId="0" borderId="5" xfId="0" applyNumberFormat="1" applyFont="1" applyBorder="1" applyAlignment="1" applyProtection="1">
      <alignment horizontal="center"/>
    </xf>
    <xf numFmtId="165" fontId="9" fillId="0" borderId="6" xfId="0" applyNumberFormat="1" applyFont="1" applyBorder="1" applyAlignment="1" applyProtection="1">
      <alignment horizontal="center"/>
    </xf>
    <xf numFmtId="165" fontId="9" fillId="0" borderId="1" xfId="0" applyNumberFormat="1" applyFont="1" applyBorder="1" applyAlignment="1" applyProtection="1">
      <alignment horizontal="center"/>
    </xf>
    <xf numFmtId="165" fontId="9" fillId="0" borderId="7" xfId="0" applyNumberFormat="1" applyFont="1" applyBorder="1" applyAlignment="1" applyProtection="1">
      <alignment horizontal="center"/>
    </xf>
    <xf numFmtId="165" fontId="9" fillId="0" borderId="8" xfId="0" applyNumberFormat="1" applyFont="1" applyBorder="1" applyAlignment="1" applyProtection="1">
      <alignment horizontal="center"/>
    </xf>
    <xf numFmtId="165" fontId="9" fillId="0" borderId="9" xfId="0" applyNumberFormat="1" applyFont="1" applyBorder="1" applyAlignment="1" applyProtection="1">
      <alignment horizontal="center"/>
    </xf>
    <xf numFmtId="165" fontId="9" fillId="0" borderId="10" xfId="0" applyNumberFormat="1" applyFont="1" applyBorder="1" applyAlignment="1" applyProtection="1">
      <alignment horizontal="center"/>
    </xf>
    <xf numFmtId="12" fontId="9" fillId="0" borderId="3" xfId="0" applyNumberFormat="1" applyFont="1" applyBorder="1" applyAlignment="1" applyProtection="1">
      <alignment horizontal="center"/>
    </xf>
    <xf numFmtId="12" fontId="9" fillId="0" borderId="4" xfId="0" applyNumberFormat="1" applyFont="1" applyBorder="1" applyAlignment="1" applyProtection="1">
      <alignment horizontal="center"/>
    </xf>
    <xf numFmtId="12" fontId="9" fillId="0" borderId="5" xfId="0" applyNumberFormat="1" applyFont="1" applyBorder="1" applyAlignment="1" applyProtection="1">
      <alignment horizontal="center"/>
    </xf>
    <xf numFmtId="0" fontId="9" fillId="0" borderId="11" xfId="0" applyFont="1" applyBorder="1" applyProtection="1"/>
    <xf numFmtId="0" fontId="9" fillId="0" borderId="12" xfId="0" applyFont="1" applyBorder="1" applyProtection="1"/>
    <xf numFmtId="0" fontId="9" fillId="0" borderId="12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Continuous"/>
    </xf>
    <xf numFmtId="0" fontId="0" fillId="0" borderId="13" xfId="0" applyBorder="1"/>
    <xf numFmtId="0" fontId="0" fillId="0" borderId="14" xfId="0" applyBorder="1"/>
    <xf numFmtId="0" fontId="10" fillId="0" borderId="0" xfId="0" applyFont="1" applyBorder="1" applyAlignment="1" applyProtection="1">
      <alignment horizontal="left"/>
    </xf>
    <xf numFmtId="0" fontId="0" fillId="0" borderId="0" xfId="0" quotePrefix="1"/>
    <xf numFmtId="164" fontId="9" fillId="0" borderId="3" xfId="0" applyNumberFormat="1" applyFont="1" applyBorder="1" applyAlignment="1" applyProtection="1">
      <alignment horizontal="center"/>
    </xf>
    <xf numFmtId="164" fontId="9" fillId="0" borderId="4" xfId="0" applyNumberFormat="1" applyFont="1" applyBorder="1" applyAlignment="1" applyProtection="1">
      <alignment horizontal="center"/>
    </xf>
    <xf numFmtId="164" fontId="9" fillId="0" borderId="5" xfId="0" applyNumberFormat="1" applyFont="1" applyBorder="1" applyAlignment="1" applyProtection="1">
      <alignment horizontal="center"/>
    </xf>
    <xf numFmtId="164" fontId="9" fillId="0" borderId="6" xfId="0" applyNumberFormat="1" applyFont="1" applyBorder="1" applyAlignment="1" applyProtection="1">
      <alignment horizontal="center"/>
    </xf>
    <xf numFmtId="164" fontId="9" fillId="0" borderId="1" xfId="0" applyNumberFormat="1" applyFont="1" applyBorder="1" applyAlignment="1" applyProtection="1">
      <alignment horizontal="center"/>
    </xf>
    <xf numFmtId="164" fontId="9" fillId="0" borderId="7" xfId="0" applyNumberFormat="1" applyFont="1" applyBorder="1" applyAlignment="1" applyProtection="1">
      <alignment horizontal="center"/>
    </xf>
    <xf numFmtId="164" fontId="9" fillId="0" borderId="8" xfId="0" applyNumberFormat="1" applyFont="1" applyBorder="1" applyAlignment="1" applyProtection="1">
      <alignment horizontal="center"/>
    </xf>
    <xf numFmtId="164" fontId="9" fillId="0" borderId="9" xfId="0" applyNumberFormat="1" applyFont="1" applyBorder="1" applyAlignment="1" applyProtection="1">
      <alignment horizontal="center"/>
    </xf>
    <xf numFmtId="164" fontId="9" fillId="0" borderId="10" xfId="0" applyNumberFormat="1" applyFont="1" applyBorder="1" applyAlignment="1" applyProtection="1">
      <alignment horizontal="center"/>
    </xf>
    <xf numFmtId="12" fontId="9" fillId="0" borderId="15" xfId="0" applyNumberFormat="1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left"/>
    </xf>
    <xf numFmtId="0" fontId="0" fillId="0" borderId="12" xfId="0" applyBorder="1"/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/>
    <xf numFmtId="2" fontId="2" fillId="0" borderId="16" xfId="0" applyNumberFormat="1" applyFont="1" applyBorder="1"/>
    <xf numFmtId="2" fontId="2" fillId="0" borderId="17" xfId="0" applyNumberFormat="1" applyFont="1" applyBorder="1" applyAlignment="1">
      <alignment horizontal="right" vertical="top" wrapText="1"/>
    </xf>
    <xf numFmtId="2" fontId="2" fillId="0" borderId="18" xfId="0" applyNumberFormat="1" applyFont="1" applyBorder="1"/>
    <xf numFmtId="2" fontId="2" fillId="3" borderId="16" xfId="0" applyNumberFormat="1" applyFont="1" applyFill="1" applyBorder="1"/>
    <xf numFmtId="2" fontId="2" fillId="3" borderId="17" xfId="0" applyNumberFormat="1" applyFont="1" applyFill="1" applyBorder="1" applyAlignment="1">
      <alignment horizontal="right" vertical="top" wrapText="1"/>
    </xf>
    <xf numFmtId="2" fontId="2" fillId="3" borderId="18" xfId="0" applyNumberFormat="1" applyFont="1" applyFill="1" applyBorder="1"/>
    <xf numFmtId="2" fontId="2" fillId="0" borderId="17" xfId="0" applyNumberFormat="1" applyFont="1" applyBorder="1"/>
    <xf numFmtId="0" fontId="2" fillId="0" borderId="19" xfId="0" applyFont="1" applyBorder="1" applyAlignment="1">
      <alignment horizontal="center" vertical="top" wrapText="1"/>
    </xf>
    <xf numFmtId="0" fontId="0" fillId="0" borderId="18" xfId="0" applyBorder="1"/>
    <xf numFmtId="2" fontId="2" fillId="0" borderId="20" xfId="0" applyNumberFormat="1" applyFont="1" applyBorder="1"/>
    <xf numFmtId="2" fontId="2" fillId="0" borderId="21" xfId="0" applyNumberFormat="1" applyFont="1" applyBorder="1" applyAlignment="1">
      <alignment horizontal="right" vertical="top" wrapText="1"/>
    </xf>
    <xf numFmtId="2" fontId="2" fillId="0" borderId="22" xfId="0" applyNumberFormat="1" applyFont="1" applyBorder="1"/>
    <xf numFmtId="2" fontId="2" fillId="3" borderId="20" xfId="0" applyNumberFormat="1" applyFont="1" applyFill="1" applyBorder="1"/>
    <xf numFmtId="2" fontId="2" fillId="3" borderId="21" xfId="0" applyNumberFormat="1" applyFont="1" applyFill="1" applyBorder="1" applyAlignment="1">
      <alignment horizontal="right" vertical="top" wrapText="1"/>
    </xf>
    <xf numFmtId="2" fontId="2" fillId="3" borderId="22" xfId="0" applyNumberFormat="1" applyFont="1" applyFill="1" applyBorder="1"/>
    <xf numFmtId="2" fontId="2" fillId="0" borderId="21" xfId="0" applyNumberFormat="1" applyFont="1" applyBorder="1"/>
    <xf numFmtId="0" fontId="2" fillId="0" borderId="23" xfId="0" applyFont="1" applyBorder="1" applyAlignment="1">
      <alignment horizontal="center" vertical="top" wrapText="1"/>
    </xf>
    <xf numFmtId="0" fontId="0" fillId="0" borderId="22" xfId="0" applyBorder="1"/>
    <xf numFmtId="2" fontId="2" fillId="0" borderId="6" xfId="0" applyNumberFormat="1" applyFont="1" applyBorder="1"/>
    <xf numFmtId="2" fontId="2" fillId="0" borderId="1" xfId="0" applyNumberFormat="1" applyFont="1" applyBorder="1" applyAlignment="1">
      <alignment horizontal="right" vertical="top" wrapText="1"/>
    </xf>
    <xf numFmtId="2" fontId="2" fillId="0" borderId="7" xfId="0" applyNumberFormat="1" applyFont="1" applyBorder="1"/>
    <xf numFmtId="2" fontId="2" fillId="3" borderId="6" xfId="0" applyNumberFormat="1" applyFont="1" applyFill="1" applyBorder="1"/>
    <xf numFmtId="2" fontId="2" fillId="3" borderId="1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/>
    <xf numFmtId="2" fontId="2" fillId="0" borderId="1" xfId="0" applyNumberFormat="1" applyFont="1" applyBorder="1"/>
    <xf numFmtId="0" fontId="2" fillId="0" borderId="24" xfId="0" applyFont="1" applyBorder="1" applyAlignment="1">
      <alignment horizontal="center" vertical="top" wrapText="1"/>
    </xf>
    <xf numFmtId="0" fontId="0" fillId="0" borderId="7" xfId="0" applyBorder="1"/>
    <xf numFmtId="2" fontId="2" fillId="0" borderId="25" xfId="0" applyNumberFormat="1" applyFont="1" applyBorder="1"/>
    <xf numFmtId="2" fontId="2" fillId="0" borderId="26" xfId="0" applyNumberFormat="1" applyFont="1" applyBorder="1" applyAlignment="1">
      <alignment horizontal="right" vertical="top" wrapText="1"/>
    </xf>
    <xf numFmtId="2" fontId="2" fillId="0" borderId="27" xfId="0" applyNumberFormat="1" applyFont="1" applyBorder="1"/>
    <xf numFmtId="2" fontId="2" fillId="3" borderId="25" xfId="0" applyNumberFormat="1" applyFont="1" applyFill="1" applyBorder="1"/>
    <xf numFmtId="2" fontId="2" fillId="3" borderId="26" xfId="0" applyNumberFormat="1" applyFont="1" applyFill="1" applyBorder="1" applyAlignment="1">
      <alignment horizontal="right" vertical="top" wrapText="1"/>
    </xf>
    <xf numFmtId="2" fontId="2" fillId="3" borderId="27" xfId="0" applyNumberFormat="1" applyFont="1" applyFill="1" applyBorder="1"/>
    <xf numFmtId="0" fontId="0" fillId="0" borderId="27" xfId="0" applyBorder="1"/>
    <xf numFmtId="2" fontId="2" fillId="0" borderId="3" xfId="0" applyNumberFormat="1" applyFont="1" applyBorder="1"/>
    <xf numFmtId="2" fontId="2" fillId="0" borderId="4" xfId="0" applyNumberFormat="1" applyFont="1" applyBorder="1" applyAlignment="1">
      <alignment horizontal="right" vertical="top" wrapText="1"/>
    </xf>
    <xf numFmtId="2" fontId="2" fillId="0" borderId="5" xfId="0" applyNumberFormat="1" applyFont="1" applyBorder="1"/>
    <xf numFmtId="2" fontId="2" fillId="3" borderId="3" xfId="0" applyNumberFormat="1" applyFont="1" applyFill="1" applyBorder="1"/>
    <xf numFmtId="2" fontId="2" fillId="3" borderId="4" xfId="0" applyNumberFormat="1" applyFont="1" applyFill="1" applyBorder="1" applyAlignment="1">
      <alignment horizontal="right" vertical="top" wrapText="1"/>
    </xf>
    <xf numFmtId="2" fontId="2" fillId="3" borderId="5" xfId="0" applyNumberFormat="1" applyFont="1" applyFill="1" applyBorder="1"/>
    <xf numFmtId="0" fontId="2" fillId="0" borderId="28" xfId="0" applyFont="1" applyBorder="1" applyAlignment="1">
      <alignment horizontal="center" vertical="top" wrapText="1"/>
    </xf>
    <xf numFmtId="0" fontId="0" fillId="0" borderId="5" xfId="0" applyBorder="1"/>
    <xf numFmtId="0" fontId="2" fillId="0" borderId="29" xfId="0" applyFont="1" applyBorder="1" applyAlignment="1">
      <alignment horizontal="center" vertical="top" wrapText="1"/>
    </xf>
    <xf numFmtId="2" fontId="2" fillId="0" borderId="8" xfId="0" applyNumberFormat="1" applyFont="1" applyBorder="1"/>
    <xf numFmtId="2" fontId="2" fillId="0" borderId="9" xfId="0" applyNumberFormat="1" applyFont="1" applyBorder="1" applyAlignment="1">
      <alignment horizontal="right" vertical="top" wrapText="1"/>
    </xf>
    <xf numFmtId="2" fontId="2" fillId="0" borderId="10" xfId="0" applyNumberFormat="1" applyFont="1" applyBorder="1"/>
    <xf numFmtId="2" fontId="2" fillId="3" borderId="8" xfId="0" applyNumberFormat="1" applyFont="1" applyFill="1" applyBorder="1"/>
    <xf numFmtId="2" fontId="2" fillId="3" borderId="9" xfId="0" applyNumberFormat="1" applyFont="1" applyFill="1" applyBorder="1" applyAlignment="1">
      <alignment horizontal="right" vertical="top" wrapText="1"/>
    </xf>
    <xf numFmtId="2" fontId="2" fillId="3" borderId="10" xfId="0" applyNumberFormat="1" applyFont="1" applyFill="1" applyBorder="1"/>
    <xf numFmtId="0" fontId="2" fillId="0" borderId="30" xfId="0" applyFont="1" applyBorder="1" applyAlignment="1">
      <alignment horizontal="center" vertical="top" wrapText="1"/>
    </xf>
    <xf numFmtId="0" fontId="0" fillId="0" borderId="10" xfId="0" applyBorder="1"/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/>
    </xf>
    <xf numFmtId="0" fontId="2" fillId="0" borderId="3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13" fillId="0" borderId="11" xfId="0" applyFont="1" applyBorder="1" applyAlignment="1">
      <alignment vertical="top" wrapText="1"/>
    </xf>
    <xf numFmtId="0" fontId="12" fillId="0" borderId="0" xfId="0" applyFont="1" applyBorder="1" applyProtection="1"/>
    <xf numFmtId="0" fontId="3" fillId="0" borderId="0" xfId="0" applyFont="1"/>
    <xf numFmtId="2" fontId="2" fillId="0" borderId="26" xfId="0" applyNumberFormat="1" applyFont="1" applyBorder="1"/>
    <xf numFmtId="2" fontId="2" fillId="0" borderId="4" xfId="0" applyNumberFormat="1" applyFont="1" applyBorder="1"/>
    <xf numFmtId="2" fontId="2" fillId="0" borderId="9" xfId="0" applyNumberFormat="1" applyFont="1" applyBorder="1"/>
    <xf numFmtId="2" fontId="2" fillId="0" borderId="8" xfId="0" applyNumberFormat="1" applyFont="1" applyFill="1" applyBorder="1"/>
    <xf numFmtId="2" fontId="2" fillId="0" borderId="9" xfId="0" applyNumberFormat="1" applyFont="1" applyFill="1" applyBorder="1" applyAlignment="1">
      <alignment horizontal="right" vertical="top" wrapText="1"/>
    </xf>
    <xf numFmtId="2" fontId="2" fillId="0" borderId="10" xfId="0" applyNumberFormat="1" applyFont="1" applyFill="1" applyBorder="1"/>
    <xf numFmtId="2" fontId="2" fillId="0" borderId="6" xfId="0" applyNumberFormat="1" applyFont="1" applyFill="1" applyBorder="1"/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7" xfId="0" applyNumberFormat="1" applyFont="1" applyFill="1" applyBorder="1"/>
    <xf numFmtId="0" fontId="0" fillId="0" borderId="5" xfId="0" applyBorder="1" applyAlignment="1">
      <alignment horizontal="center"/>
    </xf>
    <xf numFmtId="0" fontId="9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2" fontId="0" fillId="0" borderId="9" xfId="0" applyNumberFormat="1" applyBorder="1"/>
    <xf numFmtId="13" fontId="0" fillId="0" borderId="3" xfId="0" applyNumberFormat="1" applyBorder="1" applyAlignment="1">
      <alignment horizontal="center"/>
    </xf>
    <xf numFmtId="13" fontId="0" fillId="0" borderId="4" xfId="0" applyNumberFormat="1" applyBorder="1" applyAlignment="1">
      <alignment horizontal="center"/>
    </xf>
    <xf numFmtId="13" fontId="0" fillId="0" borderId="21" xfId="0" applyNumberFormat="1" applyBorder="1"/>
    <xf numFmtId="0" fontId="0" fillId="0" borderId="22" xfId="0" applyBorder="1" applyAlignment="1">
      <alignment horizontal="center"/>
    </xf>
    <xf numFmtId="0" fontId="0" fillId="0" borderId="30" xfId="0" applyBorder="1"/>
    <xf numFmtId="0" fontId="2" fillId="0" borderId="0" xfId="0" applyFont="1" applyAlignment="1">
      <alignment horizontal="centerContinuous"/>
    </xf>
    <xf numFmtId="13" fontId="0" fillId="0" borderId="31" xfId="0" applyNumberFormat="1" applyBorder="1" applyAlignment="1">
      <alignment horizontal="center"/>
    </xf>
    <xf numFmtId="13" fontId="0" fillId="0" borderId="0" xfId="0" applyNumberFormat="1"/>
    <xf numFmtId="0" fontId="0" fillId="0" borderId="0" xfId="0" applyAlignment="1">
      <alignment horizontal="center"/>
    </xf>
    <xf numFmtId="0" fontId="0" fillId="0" borderId="33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left"/>
    </xf>
    <xf numFmtId="0" fontId="0" fillId="0" borderId="23" xfId="0" applyBorder="1"/>
    <xf numFmtId="0" fontId="0" fillId="0" borderId="34" xfId="0" applyBorder="1"/>
    <xf numFmtId="0" fontId="0" fillId="0" borderId="35" xfId="0" applyBorder="1" applyAlignment="1">
      <alignment horizontal="center"/>
    </xf>
    <xf numFmtId="0" fontId="0" fillId="0" borderId="35" xfId="0" applyBorder="1"/>
    <xf numFmtId="164" fontId="0" fillId="0" borderId="35" xfId="0" applyNumberFormat="1" applyBorder="1" applyAlignment="1">
      <alignment horizontal="left"/>
    </xf>
    <xf numFmtId="0" fontId="0" fillId="0" borderId="28" xfId="0" applyBorder="1"/>
    <xf numFmtId="0" fontId="0" fillId="0" borderId="36" xfId="0" applyBorder="1"/>
    <xf numFmtId="164" fontId="0" fillId="0" borderId="2" xfId="0" applyNumberFormat="1" applyBorder="1" applyAlignment="1">
      <alignment horizontal="left"/>
    </xf>
    <xf numFmtId="0" fontId="0" fillId="0" borderId="29" xfId="0" applyBorder="1"/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8" xfId="0" applyBorder="1"/>
    <xf numFmtId="164" fontId="0" fillId="0" borderId="38" xfId="0" applyNumberFormat="1" applyBorder="1" applyAlignment="1">
      <alignment horizontal="left"/>
    </xf>
    <xf numFmtId="0" fontId="0" fillId="0" borderId="39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left"/>
    </xf>
    <xf numFmtId="0" fontId="0" fillId="0" borderId="11" xfId="0" applyBorder="1"/>
    <xf numFmtId="1" fontId="5" fillId="2" borderId="1" xfId="0" applyNumberFormat="1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164" fontId="5" fillId="4" borderId="1" xfId="0" applyNumberFormat="1" applyFont="1" applyFill="1" applyBorder="1" applyAlignment="1" applyProtection="1">
      <alignment horizontal="right"/>
      <protection locked="0"/>
    </xf>
    <xf numFmtId="13" fontId="5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2" xfId="0" applyBorder="1" applyProtection="1"/>
    <xf numFmtId="0" fontId="3" fillId="0" borderId="2" xfId="0" applyFont="1" applyBorder="1" applyProtection="1"/>
    <xf numFmtId="0" fontId="5" fillId="0" borderId="2" xfId="0" applyFont="1" applyBorder="1" applyAlignment="1" applyProtection="1">
      <alignment horizontal="center"/>
    </xf>
    <xf numFmtId="1" fontId="5" fillId="5" borderId="1" xfId="0" applyNumberFormat="1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right"/>
    </xf>
    <xf numFmtId="0" fontId="5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indent="1"/>
    </xf>
    <xf numFmtId="1" fontId="5" fillId="5" borderId="1" xfId="0" applyNumberFormat="1" applyFont="1" applyFill="1" applyBorder="1" applyAlignment="1" applyProtection="1">
      <alignment horizontal="center"/>
    </xf>
    <xf numFmtId="164" fontId="5" fillId="5" borderId="1" xfId="0" applyNumberFormat="1" applyFont="1" applyFill="1" applyBorder="1" applyAlignment="1" applyProtection="1">
      <alignment horizontal="center"/>
    </xf>
    <xf numFmtId="0" fontId="3" fillId="0" borderId="2" xfId="0" applyFont="1" applyBorder="1" applyAlignment="1" applyProtection="1"/>
    <xf numFmtId="0" fontId="0" fillId="0" borderId="2" xfId="0" applyBorder="1" applyAlignment="1" applyProtection="1">
      <alignment vertical="top"/>
    </xf>
    <xf numFmtId="0" fontId="18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 vertical="top" indent="1"/>
    </xf>
    <xf numFmtId="2" fontId="5" fillId="5" borderId="1" xfId="0" applyNumberFormat="1" applyFont="1" applyFill="1" applyBorder="1" applyAlignment="1" applyProtection="1">
      <alignment horizontal="center"/>
    </xf>
    <xf numFmtId="1" fontId="17" fillId="5" borderId="1" xfId="0" applyNumberFormat="1" applyFont="1" applyFill="1" applyBorder="1" applyAlignment="1" applyProtection="1">
      <alignment horizontal="center"/>
    </xf>
    <xf numFmtId="0" fontId="17" fillId="0" borderId="2" xfId="0" applyFont="1" applyBorder="1" applyAlignment="1" applyProtection="1">
      <alignment vertical="center"/>
    </xf>
    <xf numFmtId="0" fontId="17" fillId="0" borderId="2" xfId="0" applyFont="1" applyBorder="1" applyAlignment="1" applyProtection="1">
      <alignment horizontal="left" vertical="center" indent="1"/>
    </xf>
    <xf numFmtId="164" fontId="17" fillId="5" borderId="1" xfId="0" applyNumberFormat="1" applyFont="1" applyFill="1" applyBorder="1" applyAlignment="1" applyProtection="1">
      <alignment horizontal="center"/>
    </xf>
    <xf numFmtId="0" fontId="18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indent="2"/>
    </xf>
    <xf numFmtId="0" fontId="6" fillId="0" borderId="2" xfId="0" applyFont="1" applyBorder="1" applyAlignment="1" applyProtection="1">
      <alignment horizontal="right" vertical="center"/>
    </xf>
    <xf numFmtId="0" fontId="5" fillId="0" borderId="0" xfId="0" applyFont="1"/>
    <xf numFmtId="0" fontId="5" fillId="0" borderId="40" xfId="0" applyFont="1" applyBorder="1" applyAlignment="1">
      <alignment horizontal="center"/>
    </xf>
    <xf numFmtId="0" fontId="0" fillId="0" borderId="40" xfId="0" applyBorder="1"/>
    <xf numFmtId="0" fontId="19" fillId="0" borderId="0" xfId="0" applyFont="1" applyAlignment="1" applyProtection="1">
      <alignment horizontal="left"/>
      <protection hidden="1"/>
    </xf>
    <xf numFmtId="13" fontId="19" fillId="0" borderId="0" xfId="0" applyNumberFormat="1" applyFont="1" applyProtection="1">
      <protection hidden="1"/>
    </xf>
    <xf numFmtId="1" fontId="5" fillId="0" borderId="41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vertical="center"/>
    </xf>
    <xf numFmtId="0" fontId="5" fillId="0" borderId="4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38" xfId="0" applyBorder="1" applyAlignment="1" applyProtection="1">
      <alignment vertical="top"/>
    </xf>
    <xf numFmtId="1" fontId="5" fillId="4" borderId="26" xfId="0" applyNumberFormat="1" applyFont="1" applyFill="1" applyBorder="1" applyAlignment="1" applyProtection="1">
      <alignment horizontal="right"/>
      <protection locked="0"/>
    </xf>
    <xf numFmtId="164" fontId="5" fillId="2" borderId="7" xfId="0" applyNumberFormat="1" applyFont="1" applyFill="1" applyBorder="1" applyAlignment="1" applyProtection="1">
      <alignment horizontal="right"/>
      <protection locked="0"/>
    </xf>
    <xf numFmtId="1" fontId="5" fillId="5" borderId="21" xfId="0" applyNumberFormat="1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horizontal="right"/>
      <protection locked="0"/>
    </xf>
    <xf numFmtId="1" fontId="5" fillId="5" borderId="26" xfId="0" applyNumberFormat="1" applyFont="1" applyFill="1" applyBorder="1" applyAlignment="1" applyProtection="1">
      <alignment horizontal="center"/>
    </xf>
    <xf numFmtId="164" fontId="18" fillId="0" borderId="40" xfId="0" applyNumberFormat="1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right"/>
      <protection locked="0"/>
    </xf>
    <xf numFmtId="0" fontId="5" fillId="0" borderId="42" xfId="0" applyFont="1" applyFill="1" applyBorder="1" applyAlignment="1" applyProtection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0" fillId="0" borderId="40" xfId="0" applyFill="1" applyBorder="1" applyAlignment="1" applyProtection="1">
      <alignment horizontal="right" vertical="top"/>
    </xf>
    <xf numFmtId="164" fontId="5" fillId="0" borderId="32" xfId="0" applyNumberFormat="1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right"/>
    </xf>
    <xf numFmtId="0" fontId="17" fillId="0" borderId="32" xfId="0" applyFont="1" applyFill="1" applyBorder="1" applyAlignment="1" applyProtection="1">
      <alignment horizontal="right"/>
    </xf>
    <xf numFmtId="164" fontId="5" fillId="0" borderId="43" xfId="0" applyNumberFormat="1" applyFont="1" applyFill="1" applyBorder="1" applyAlignment="1" applyProtection="1">
      <alignment horizontal="right"/>
    </xf>
    <xf numFmtId="0" fontId="0" fillId="0" borderId="38" xfId="0" applyFill="1" applyBorder="1" applyAlignment="1" applyProtection="1">
      <alignment horizontal="right" vertical="top"/>
    </xf>
    <xf numFmtId="164" fontId="5" fillId="0" borderId="36" xfId="0" applyNumberFormat="1" applyFont="1" applyFill="1" applyBorder="1" applyAlignment="1" applyProtection="1">
      <alignment horizontal="right"/>
    </xf>
    <xf numFmtId="0" fontId="5" fillId="4" borderId="44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Protection="1">
      <protection hidden="1"/>
    </xf>
    <xf numFmtId="0" fontId="19" fillId="0" borderId="0" xfId="0" applyFont="1"/>
    <xf numFmtId="0" fontId="5" fillId="2" borderId="41" xfId="0" applyFont="1" applyFill="1" applyBorder="1" applyAlignment="1" applyProtection="1">
      <alignment horizontal="right"/>
      <protection locked="0"/>
    </xf>
    <xf numFmtId="164" fontId="5" fillId="5" borderId="26" xfId="0" applyNumberFormat="1" applyFont="1" applyFill="1" applyBorder="1" applyAlignment="1" applyProtection="1">
      <alignment horizontal="center"/>
    </xf>
    <xf numFmtId="0" fontId="20" fillId="0" borderId="0" xfId="0" applyFont="1" applyBorder="1"/>
    <xf numFmtId="0" fontId="21" fillId="0" borderId="0" xfId="0" applyFont="1" applyFill="1" applyBorder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/>
    </xf>
    <xf numFmtId="0" fontId="21" fillId="0" borderId="2" xfId="0" applyFont="1" applyBorder="1"/>
    <xf numFmtId="0" fontId="20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 vertical="center" indent="1"/>
    </xf>
    <xf numFmtId="0" fontId="21" fillId="0" borderId="2" xfId="0" applyFont="1" applyBorder="1" applyAlignment="1">
      <alignment horizontal="left" vertical="center" indent="2"/>
    </xf>
    <xf numFmtId="0" fontId="20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left" vertical="center" wrapText="1" indent="1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vertical="center" wrapText="1"/>
    </xf>
    <xf numFmtId="1" fontId="6" fillId="5" borderId="45" xfId="0" applyNumberFormat="1" applyFont="1" applyFill="1" applyBorder="1" applyAlignment="1" applyProtection="1">
      <alignment horizontal="center"/>
    </xf>
    <xf numFmtId="164" fontId="6" fillId="5" borderId="45" xfId="0" applyNumberFormat="1" applyFont="1" applyFill="1" applyBorder="1" applyAlignment="1" applyProtection="1">
      <alignment horizontal="center"/>
    </xf>
    <xf numFmtId="164" fontId="6" fillId="4" borderId="45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Alignment="1" applyProtection="1">
      <alignment vertical="center"/>
    </xf>
    <xf numFmtId="0" fontId="8" fillId="0" borderId="2" xfId="0" applyFont="1" applyBorder="1"/>
    <xf numFmtId="1" fontId="5" fillId="2" borderId="7" xfId="0" applyNumberFormat="1" applyFont="1" applyFill="1" applyBorder="1" applyAlignment="1" applyProtection="1">
      <alignment horizontal="right"/>
      <protection locked="0"/>
    </xf>
    <xf numFmtId="164" fontId="5" fillId="5" borderId="1" xfId="0" applyNumberFormat="1" applyFont="1" applyFill="1" applyBorder="1" applyAlignment="1" applyProtection="1">
      <alignment horizontal="center" wrapText="1"/>
    </xf>
    <xf numFmtId="164" fontId="9" fillId="0" borderId="46" xfId="0" applyNumberFormat="1" applyFont="1" applyBorder="1" applyAlignment="1" applyProtection="1">
      <alignment horizontal="center"/>
    </xf>
    <xf numFmtId="164" fontId="9" fillId="0" borderId="41" xfId="0" applyNumberFormat="1" applyFont="1" applyBorder="1" applyAlignment="1" applyProtection="1">
      <alignment horizontal="center"/>
    </xf>
    <xf numFmtId="164" fontId="9" fillId="0" borderId="27" xfId="0" applyNumberFormat="1" applyFont="1" applyBorder="1" applyAlignment="1" applyProtection="1">
      <alignment horizontal="center"/>
    </xf>
    <xf numFmtId="164" fontId="9" fillId="0" borderId="47" xfId="0" applyNumberFormat="1" applyFont="1" applyBorder="1" applyAlignment="1" applyProtection="1">
      <alignment horizontal="center"/>
    </xf>
    <xf numFmtId="1" fontId="19" fillId="0" borderId="0" xfId="0" applyNumberFormat="1" applyFont="1" applyProtection="1">
      <protection hidden="1"/>
    </xf>
    <xf numFmtId="0" fontId="0" fillId="0" borderId="2" xfId="0" applyBorder="1" applyAlignment="1">
      <alignment horizontal="left" vertical="center"/>
    </xf>
    <xf numFmtId="0" fontId="18" fillId="0" borderId="2" xfId="0" applyFont="1" applyBorder="1" applyAlignment="1" applyProtection="1">
      <alignment horizontal="center" vertical="center"/>
      <protection hidden="1"/>
    </xf>
    <xf numFmtId="2" fontId="2" fillId="0" borderId="48" xfId="0" applyNumberFormat="1" applyFont="1" applyBorder="1"/>
    <xf numFmtId="2" fontId="2" fillId="0" borderId="32" xfId="0" applyNumberFormat="1" applyFont="1" applyBorder="1"/>
    <xf numFmtId="2" fontId="2" fillId="0" borderId="31" xfId="0" applyNumberFormat="1" applyFont="1" applyBorder="1"/>
    <xf numFmtId="2" fontId="0" fillId="0" borderId="10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5" xfId="0" applyNumberFormat="1" applyBorder="1"/>
    <xf numFmtId="2" fontId="0" fillId="0" borderId="4" xfId="0" applyNumberFormat="1" applyBorder="1"/>
    <xf numFmtId="2" fontId="0" fillId="0" borderId="3" xfId="0" applyNumberFormat="1" applyBorder="1"/>
    <xf numFmtId="0" fontId="2" fillId="0" borderId="42" xfId="0" applyFont="1" applyBorder="1" applyAlignment="1">
      <alignment horizontal="center"/>
    </xf>
    <xf numFmtId="0" fontId="0" fillId="0" borderId="49" xfId="0" applyBorder="1"/>
    <xf numFmtId="13" fontId="0" fillId="0" borderId="5" xfId="0" applyNumberFormat="1" applyBorder="1"/>
    <xf numFmtId="0" fontId="9" fillId="0" borderId="13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4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/>
    </xf>
    <xf numFmtId="0" fontId="0" fillId="0" borderId="40" xfId="0" applyBorder="1" applyAlignment="1"/>
    <xf numFmtId="0" fontId="2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9" fillId="0" borderId="14" xfId="0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/>
    <xf numFmtId="0" fontId="13" fillId="0" borderId="36" xfId="0" applyFont="1" applyBorder="1" applyAlignment="1">
      <alignment horizontal="center" vertical="top" wrapText="1"/>
    </xf>
    <xf numFmtId="0" fontId="0" fillId="0" borderId="29" xfId="0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28" xfId="0" applyBorder="1" applyAlignment="1">
      <alignment wrapText="1"/>
    </xf>
    <xf numFmtId="12" fontId="2" fillId="0" borderId="46" xfId="0" applyNumberFormat="1" applyFont="1" applyBorder="1" applyAlignment="1">
      <alignment horizontal="center" vertical="top"/>
    </xf>
    <xf numFmtId="12" fontId="0" fillId="0" borderId="9" xfId="0" applyNumberFormat="1" applyBorder="1" applyAlignment="1">
      <alignment horizontal="center" vertical="top"/>
    </xf>
    <xf numFmtId="12" fontId="0" fillId="0" borderId="48" xfId="0" applyNumberFormat="1" applyBorder="1" applyAlignment="1">
      <alignment horizontal="center" vertical="top"/>
    </xf>
    <xf numFmtId="12" fontId="2" fillId="0" borderId="10" xfId="0" applyNumberFormat="1" applyFont="1" applyBorder="1" applyAlignment="1">
      <alignment horizontal="center" vertical="top"/>
    </xf>
    <xf numFmtId="12" fontId="2" fillId="0" borderId="9" xfId="0" applyNumberFormat="1" applyFont="1" applyBorder="1" applyAlignment="1">
      <alignment horizontal="center" vertical="top"/>
    </xf>
    <xf numFmtId="12" fontId="2" fillId="0" borderId="48" xfId="0" applyNumberFormat="1" applyFont="1" applyBorder="1" applyAlignment="1">
      <alignment horizontal="center" vertical="top"/>
    </xf>
    <xf numFmtId="12" fontId="0" fillId="0" borderId="8" xfId="0" applyNumberFormat="1" applyBorder="1" applyAlignment="1">
      <alignment horizontal="center" vertical="top"/>
    </xf>
    <xf numFmtId="0" fontId="13" fillId="0" borderId="41" xfId="0" applyFont="1" applyBorder="1" applyAlignment="1">
      <alignment horizontal="center" vertical="top"/>
    </xf>
    <xf numFmtId="0" fontId="9" fillId="0" borderId="50" xfId="0" applyFont="1" applyBorder="1" applyAlignment="1" applyProtection="1">
      <alignment horizontal="center"/>
    </xf>
    <xf numFmtId="0" fontId="0" fillId="0" borderId="51" xfId="0" applyBorder="1" applyAlignment="1"/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1" xfId="0" applyBorder="1" applyAlignment="1">
      <alignment horizontal="center"/>
    </xf>
    <xf numFmtId="0" fontId="9" fillId="0" borderId="36" xfId="0" applyFont="1" applyBorder="1" applyAlignment="1" applyProtection="1">
      <alignment horizontal="center"/>
    </xf>
    <xf numFmtId="0" fontId="0" fillId="0" borderId="29" xfId="0" applyBorder="1" applyAlignment="1">
      <alignment horizontal="center"/>
    </xf>
    <xf numFmtId="0" fontId="9" fillId="0" borderId="14" xfId="0" applyFont="1" applyBorder="1" applyAlignment="1" applyProtection="1">
      <alignment horizontal="center" wrapText="1"/>
    </xf>
    <xf numFmtId="0" fontId="0" fillId="0" borderId="50" xfId="0" applyBorder="1" applyAlignment="1"/>
  </cellXfs>
  <cellStyles count="1"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52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1895475</xdr:colOff>
          <xdr:row>2</xdr:row>
          <xdr:rowOff>9525</xdr:rowOff>
        </xdr:from>
        <xdr:to>
          <xdr:col>5</xdr:col>
          <xdr:colOff>0</xdr:colOff>
          <xdr:row>3</xdr:row>
          <xdr:rowOff>0</xdr:rowOff>
        </xdr:to>
        <xdr:sp macro="" textlink="">
          <xdr:nvSpPr>
            <xdr:cNvPr id="2100" name="Button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</xdr:row>
          <xdr:rowOff>0</xdr:rowOff>
        </xdr:from>
        <xdr:to>
          <xdr:col>1</xdr:col>
          <xdr:colOff>1181100</xdr:colOff>
          <xdr:row>3</xdr:row>
          <xdr:rowOff>0</xdr:rowOff>
        </xdr:to>
        <xdr:sp macro="" textlink="">
          <xdr:nvSpPr>
            <xdr:cNvPr id="2108" name="Button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 Calculations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1352550</xdr:colOff>
          <xdr:row>2</xdr:row>
          <xdr:rowOff>0</xdr:rowOff>
        </xdr:from>
        <xdr:to>
          <xdr:col>1</xdr:col>
          <xdr:colOff>2771775</xdr:colOff>
          <xdr:row>3</xdr:row>
          <xdr:rowOff>0</xdr:rowOff>
        </xdr:to>
        <xdr:sp macro="" textlink="">
          <xdr:nvSpPr>
            <xdr:cNvPr id="2109" name="Button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 Instruction Sheets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2952750</xdr:colOff>
          <xdr:row>2</xdr:row>
          <xdr:rowOff>0</xdr:rowOff>
        </xdr:from>
        <xdr:to>
          <xdr:col>2</xdr:col>
          <xdr:colOff>295275</xdr:colOff>
          <xdr:row>3</xdr:row>
          <xdr:rowOff>0</xdr:rowOff>
        </xdr:to>
        <xdr:sp macro="" textlink="">
          <xdr:nvSpPr>
            <xdr:cNvPr id="2110" name="Button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 Tables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2657475</xdr:colOff>
      <xdr:row>88</xdr:row>
      <xdr:rowOff>76200</xdr:rowOff>
    </xdr:from>
    <xdr:to>
      <xdr:col>2</xdr:col>
      <xdr:colOff>5400675</xdr:colOff>
      <xdr:row>120</xdr:row>
      <xdr:rowOff>47625</xdr:rowOff>
    </xdr:to>
    <xdr:pic>
      <xdr:nvPicPr>
        <xdr:cNvPr id="4360" name="Picture 66" descr="C:\JEGfy07\OnsiteImages\Dist_2006-12-21\OtherDist\SlopeManifoldSketch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9945350"/>
          <a:ext cx="2743200" cy="576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71</xdr:row>
      <xdr:rowOff>123825</xdr:rowOff>
    </xdr:from>
    <xdr:to>
      <xdr:col>2</xdr:col>
      <xdr:colOff>5143500</xdr:colOff>
      <xdr:row>86</xdr:row>
      <xdr:rowOff>142875</xdr:rowOff>
    </xdr:to>
    <xdr:grpSp>
      <xdr:nvGrpSpPr>
        <xdr:cNvPr id="4361" name="Group 71"/>
        <xdr:cNvGrpSpPr>
          <a:grpSpLocks/>
        </xdr:cNvGrpSpPr>
      </xdr:nvGrpSpPr>
      <xdr:grpSpPr bwMode="auto">
        <a:xfrm>
          <a:off x="495300" y="17202150"/>
          <a:ext cx="7848600" cy="2486025"/>
          <a:chOff x="97" y="1839"/>
          <a:chExt cx="752" cy="247"/>
        </a:xfrm>
      </xdr:grpSpPr>
      <xdr:sp macro="" textlink="">
        <xdr:nvSpPr>
          <xdr:cNvPr id="4366" name="Freeform 38"/>
          <xdr:cNvSpPr>
            <a:spLocks/>
          </xdr:cNvSpPr>
        </xdr:nvSpPr>
        <xdr:spPr bwMode="auto">
          <a:xfrm flipH="1">
            <a:off x="103" y="1864"/>
            <a:ext cx="746" cy="222"/>
          </a:xfrm>
          <a:custGeom>
            <a:avLst/>
            <a:gdLst>
              <a:gd name="T0" fmla="*/ 101 w 5486"/>
              <a:gd name="T1" fmla="*/ 0 h 1600"/>
              <a:gd name="T2" fmla="*/ 1 w 5486"/>
              <a:gd name="T3" fmla="*/ 0 h 1600"/>
              <a:gd name="T4" fmla="*/ 0 w 5486"/>
              <a:gd name="T5" fmla="*/ 2 h 1600"/>
              <a:gd name="T6" fmla="*/ 0 w 5486"/>
              <a:gd name="T7" fmla="*/ 6 h 1600"/>
              <a:gd name="T8" fmla="*/ 0 w 5486"/>
              <a:gd name="T9" fmla="*/ 9 h 1600"/>
              <a:gd name="T10" fmla="*/ 1 w 5486"/>
              <a:gd name="T11" fmla="*/ 13 h 1600"/>
              <a:gd name="T12" fmla="*/ 2 w 5486"/>
              <a:gd name="T13" fmla="*/ 17 h 1600"/>
              <a:gd name="T14" fmla="*/ 2 w 5486"/>
              <a:gd name="T15" fmla="*/ 20 h 1600"/>
              <a:gd name="T16" fmla="*/ 3 w 5486"/>
              <a:gd name="T17" fmla="*/ 22 h 1600"/>
              <a:gd name="T18" fmla="*/ 3 w 5486"/>
              <a:gd name="T19" fmla="*/ 23 h 1600"/>
              <a:gd name="T20" fmla="*/ 4 w 5486"/>
              <a:gd name="T21" fmla="*/ 26 h 1600"/>
              <a:gd name="T22" fmla="*/ 4 w 5486"/>
              <a:gd name="T23" fmla="*/ 27 h 1600"/>
              <a:gd name="T24" fmla="*/ 4 w 5486"/>
              <a:gd name="T25" fmla="*/ 28 h 1600"/>
              <a:gd name="T26" fmla="*/ 8 w 5486"/>
              <a:gd name="T27" fmla="*/ 30 h 1600"/>
              <a:gd name="T28" fmla="*/ 9 w 5486"/>
              <a:gd name="T29" fmla="*/ 30 h 1600"/>
              <a:gd name="T30" fmla="*/ 10 w 5486"/>
              <a:gd name="T31" fmla="*/ 31 h 1600"/>
              <a:gd name="T32" fmla="*/ 10 w 5486"/>
              <a:gd name="T33" fmla="*/ 31 h 1600"/>
              <a:gd name="T34" fmla="*/ 17 w 5486"/>
              <a:gd name="T35" fmla="*/ 30 h 1600"/>
              <a:gd name="T36" fmla="*/ 19 w 5486"/>
              <a:gd name="T37" fmla="*/ 30 h 1600"/>
              <a:gd name="T38" fmla="*/ 20 w 5486"/>
              <a:gd name="T39" fmla="*/ 29 h 1600"/>
              <a:gd name="T40" fmla="*/ 25 w 5486"/>
              <a:gd name="T41" fmla="*/ 29 h 1600"/>
              <a:gd name="T42" fmla="*/ 27 w 5486"/>
              <a:gd name="T43" fmla="*/ 28 h 1600"/>
              <a:gd name="T44" fmla="*/ 27 w 5486"/>
              <a:gd name="T45" fmla="*/ 28 h 1600"/>
              <a:gd name="T46" fmla="*/ 27 w 5486"/>
              <a:gd name="T47" fmla="*/ 28 h 1600"/>
              <a:gd name="T48" fmla="*/ 28 w 5486"/>
              <a:gd name="T49" fmla="*/ 27 h 1600"/>
              <a:gd name="T50" fmla="*/ 28 w 5486"/>
              <a:gd name="T51" fmla="*/ 27 h 1600"/>
              <a:gd name="T52" fmla="*/ 28 w 5486"/>
              <a:gd name="T53" fmla="*/ 26 h 1600"/>
              <a:gd name="T54" fmla="*/ 29 w 5486"/>
              <a:gd name="T55" fmla="*/ 26 h 1600"/>
              <a:gd name="T56" fmla="*/ 29 w 5486"/>
              <a:gd name="T57" fmla="*/ 26 h 1600"/>
              <a:gd name="T58" fmla="*/ 30 w 5486"/>
              <a:gd name="T59" fmla="*/ 25 h 1600"/>
              <a:gd name="T60" fmla="*/ 32 w 5486"/>
              <a:gd name="T61" fmla="*/ 24 h 1600"/>
              <a:gd name="T62" fmla="*/ 38 w 5486"/>
              <a:gd name="T63" fmla="*/ 25 h 1600"/>
              <a:gd name="T64" fmla="*/ 40 w 5486"/>
              <a:gd name="T65" fmla="*/ 25 h 1600"/>
              <a:gd name="T66" fmla="*/ 42 w 5486"/>
              <a:gd name="T67" fmla="*/ 24 h 1600"/>
              <a:gd name="T68" fmla="*/ 101 w 5486"/>
              <a:gd name="T69" fmla="*/ 24 h 1600"/>
              <a:gd name="T70" fmla="*/ 101 w 5486"/>
              <a:gd name="T71" fmla="*/ 23 h 1600"/>
              <a:gd name="T72" fmla="*/ 100 w 5486"/>
              <a:gd name="T73" fmla="*/ 15 h 1600"/>
              <a:gd name="T74" fmla="*/ 101 w 5486"/>
              <a:gd name="T75" fmla="*/ 8 h 1600"/>
              <a:gd name="T76" fmla="*/ 100 w 5486"/>
              <a:gd name="T77" fmla="*/ 4 h 1600"/>
              <a:gd name="T78" fmla="*/ 101 w 5486"/>
              <a:gd name="T79" fmla="*/ 2 h 1600"/>
              <a:gd name="T80" fmla="*/ 101 w 5486"/>
              <a:gd name="T81" fmla="*/ 1 h 1600"/>
              <a:gd name="T82" fmla="*/ 101 w 5486"/>
              <a:gd name="T83" fmla="*/ 0 h 160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5486"/>
              <a:gd name="T127" fmla="*/ 0 h 1600"/>
              <a:gd name="T128" fmla="*/ 5486 w 5486"/>
              <a:gd name="T129" fmla="*/ 1600 h 1600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5486" h="1600">
                <a:moveTo>
                  <a:pt x="5444" y="0"/>
                </a:moveTo>
                <a:cubicBezTo>
                  <a:pt x="3643" y="4"/>
                  <a:pt x="1843" y="8"/>
                  <a:pt x="42" y="13"/>
                </a:cubicBezTo>
                <a:cubicBezTo>
                  <a:pt x="10" y="13"/>
                  <a:pt x="0" y="98"/>
                  <a:pt x="0" y="98"/>
                </a:cubicBezTo>
                <a:cubicBezTo>
                  <a:pt x="15" y="307"/>
                  <a:pt x="27" y="230"/>
                  <a:pt x="7" y="330"/>
                </a:cubicBezTo>
                <a:cubicBezTo>
                  <a:pt x="1" y="395"/>
                  <a:pt x="1" y="433"/>
                  <a:pt x="21" y="492"/>
                </a:cubicBezTo>
                <a:cubicBezTo>
                  <a:pt x="27" y="550"/>
                  <a:pt x="35" y="644"/>
                  <a:pt x="77" y="689"/>
                </a:cubicBezTo>
                <a:cubicBezTo>
                  <a:pt x="91" y="757"/>
                  <a:pt x="116" y="824"/>
                  <a:pt x="133" y="892"/>
                </a:cubicBezTo>
                <a:cubicBezTo>
                  <a:pt x="142" y="971"/>
                  <a:pt x="128" y="958"/>
                  <a:pt x="119" y="1033"/>
                </a:cubicBezTo>
                <a:cubicBezTo>
                  <a:pt x="125" y="1070"/>
                  <a:pt x="135" y="1103"/>
                  <a:pt x="147" y="1138"/>
                </a:cubicBezTo>
                <a:cubicBezTo>
                  <a:pt x="152" y="1152"/>
                  <a:pt x="161" y="1180"/>
                  <a:pt x="161" y="1180"/>
                </a:cubicBezTo>
                <a:cubicBezTo>
                  <a:pt x="168" y="1232"/>
                  <a:pt x="156" y="1311"/>
                  <a:pt x="197" y="1349"/>
                </a:cubicBezTo>
                <a:cubicBezTo>
                  <a:pt x="214" y="1399"/>
                  <a:pt x="203" y="1379"/>
                  <a:pt x="225" y="1412"/>
                </a:cubicBezTo>
                <a:cubicBezTo>
                  <a:pt x="202" y="1447"/>
                  <a:pt x="215" y="1447"/>
                  <a:pt x="246" y="1468"/>
                </a:cubicBezTo>
                <a:cubicBezTo>
                  <a:pt x="287" y="1529"/>
                  <a:pt x="385" y="1528"/>
                  <a:pt x="449" y="1560"/>
                </a:cubicBezTo>
                <a:cubicBezTo>
                  <a:pt x="457" y="1564"/>
                  <a:pt x="462" y="1571"/>
                  <a:pt x="470" y="1574"/>
                </a:cubicBezTo>
                <a:cubicBezTo>
                  <a:pt x="484" y="1580"/>
                  <a:pt x="499" y="1583"/>
                  <a:pt x="513" y="1588"/>
                </a:cubicBezTo>
                <a:cubicBezTo>
                  <a:pt x="520" y="1590"/>
                  <a:pt x="534" y="1595"/>
                  <a:pt x="534" y="1595"/>
                </a:cubicBezTo>
                <a:cubicBezTo>
                  <a:pt x="670" y="1592"/>
                  <a:pt x="807" y="1600"/>
                  <a:pt x="941" y="1581"/>
                </a:cubicBezTo>
                <a:cubicBezTo>
                  <a:pt x="987" y="1574"/>
                  <a:pt x="984" y="1556"/>
                  <a:pt x="1018" y="1538"/>
                </a:cubicBezTo>
                <a:cubicBezTo>
                  <a:pt x="1038" y="1528"/>
                  <a:pt x="1082" y="1517"/>
                  <a:pt x="1082" y="1517"/>
                </a:cubicBezTo>
                <a:cubicBezTo>
                  <a:pt x="1181" y="1523"/>
                  <a:pt x="1279" y="1530"/>
                  <a:pt x="1377" y="1510"/>
                </a:cubicBezTo>
                <a:cubicBezTo>
                  <a:pt x="1400" y="1495"/>
                  <a:pt x="1410" y="1476"/>
                  <a:pt x="1433" y="1461"/>
                </a:cubicBezTo>
                <a:cubicBezTo>
                  <a:pt x="1438" y="1454"/>
                  <a:pt x="1440" y="1445"/>
                  <a:pt x="1447" y="1440"/>
                </a:cubicBezTo>
                <a:cubicBezTo>
                  <a:pt x="1453" y="1435"/>
                  <a:pt x="1463" y="1438"/>
                  <a:pt x="1468" y="1433"/>
                </a:cubicBezTo>
                <a:cubicBezTo>
                  <a:pt x="1505" y="1396"/>
                  <a:pt x="1440" y="1424"/>
                  <a:pt x="1496" y="1405"/>
                </a:cubicBezTo>
                <a:cubicBezTo>
                  <a:pt x="1511" y="1359"/>
                  <a:pt x="1490" y="1404"/>
                  <a:pt x="1524" y="1377"/>
                </a:cubicBezTo>
                <a:cubicBezTo>
                  <a:pt x="1531" y="1372"/>
                  <a:pt x="1531" y="1361"/>
                  <a:pt x="1538" y="1356"/>
                </a:cubicBezTo>
                <a:cubicBezTo>
                  <a:pt x="1544" y="1351"/>
                  <a:pt x="1552" y="1352"/>
                  <a:pt x="1559" y="1349"/>
                </a:cubicBezTo>
                <a:cubicBezTo>
                  <a:pt x="1567" y="1345"/>
                  <a:pt x="1572" y="1338"/>
                  <a:pt x="1580" y="1335"/>
                </a:cubicBezTo>
                <a:cubicBezTo>
                  <a:pt x="1593" y="1329"/>
                  <a:pt x="1622" y="1321"/>
                  <a:pt x="1622" y="1321"/>
                </a:cubicBezTo>
                <a:cubicBezTo>
                  <a:pt x="1639" y="1305"/>
                  <a:pt x="1695" y="1281"/>
                  <a:pt x="1721" y="1272"/>
                </a:cubicBezTo>
                <a:cubicBezTo>
                  <a:pt x="1836" y="1282"/>
                  <a:pt x="1950" y="1272"/>
                  <a:pt x="2065" y="1279"/>
                </a:cubicBezTo>
                <a:cubicBezTo>
                  <a:pt x="2091" y="1283"/>
                  <a:pt x="2116" y="1293"/>
                  <a:pt x="2142" y="1293"/>
                </a:cubicBezTo>
                <a:cubicBezTo>
                  <a:pt x="2194" y="1293"/>
                  <a:pt x="2238" y="1265"/>
                  <a:pt x="2290" y="1265"/>
                </a:cubicBezTo>
                <a:cubicBezTo>
                  <a:pt x="3349" y="1264"/>
                  <a:pt x="4407" y="1268"/>
                  <a:pt x="5466" y="1261"/>
                </a:cubicBezTo>
                <a:cubicBezTo>
                  <a:pt x="5486" y="1261"/>
                  <a:pt x="5465" y="1201"/>
                  <a:pt x="5465" y="1201"/>
                </a:cubicBezTo>
                <a:cubicBezTo>
                  <a:pt x="5448" y="1061"/>
                  <a:pt x="5449" y="921"/>
                  <a:pt x="5437" y="780"/>
                </a:cubicBezTo>
                <a:cubicBezTo>
                  <a:pt x="5453" y="656"/>
                  <a:pt x="5426" y="532"/>
                  <a:pt x="5444" y="408"/>
                </a:cubicBezTo>
                <a:cubicBezTo>
                  <a:pt x="5442" y="342"/>
                  <a:pt x="5437" y="277"/>
                  <a:pt x="5437" y="211"/>
                </a:cubicBezTo>
                <a:cubicBezTo>
                  <a:pt x="5437" y="173"/>
                  <a:pt x="5439" y="135"/>
                  <a:pt x="5444" y="98"/>
                </a:cubicBezTo>
                <a:cubicBezTo>
                  <a:pt x="5446" y="83"/>
                  <a:pt x="5458" y="56"/>
                  <a:pt x="5458" y="56"/>
                </a:cubicBezTo>
                <a:cubicBezTo>
                  <a:pt x="5433" y="39"/>
                  <a:pt x="5420" y="24"/>
                  <a:pt x="5444" y="0"/>
                </a:cubicBezTo>
                <a:close/>
              </a:path>
            </a:pathLst>
          </a:custGeom>
          <a:solidFill>
            <a:srgbClr val="996633"/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4367" name="Group 39"/>
          <xdr:cNvGrpSpPr>
            <a:grpSpLocks/>
          </xdr:cNvGrpSpPr>
        </xdr:nvGrpSpPr>
        <xdr:grpSpPr bwMode="auto">
          <a:xfrm flipH="1">
            <a:off x="677" y="1936"/>
            <a:ext cx="59" cy="78"/>
            <a:chOff x="1248" y="2112"/>
            <a:chExt cx="480" cy="528"/>
          </a:xfrm>
        </xdr:grpSpPr>
        <xdr:sp macro="" textlink="">
          <xdr:nvSpPr>
            <xdr:cNvPr id="4389" name="AutoShape 40"/>
            <xdr:cNvSpPr>
              <a:spLocks noChangeArrowheads="1"/>
            </xdr:cNvSpPr>
          </xdr:nvSpPr>
          <xdr:spPr bwMode="auto">
            <a:xfrm>
              <a:off x="1248" y="2112"/>
              <a:ext cx="336" cy="336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w 21600"/>
                <a:gd name="T9" fmla="*/ 0 h 21600"/>
                <a:gd name="T10" fmla="*/ 0 w 21600"/>
                <a:gd name="T11" fmla="*/ 0 h 21600"/>
                <a:gd name="T12" fmla="*/ 0 w 21600"/>
                <a:gd name="T13" fmla="*/ 0 h 21600"/>
                <a:gd name="T14" fmla="*/ 0 w 21600"/>
                <a:gd name="T15" fmla="*/ 0 h 21600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3150 w 21600"/>
                <a:gd name="T25" fmla="*/ 3150 h 21600"/>
                <a:gd name="T26" fmla="*/ 18450 w 21600"/>
                <a:gd name="T27" fmla="*/ 18450 h 21600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1600" h="21600">
                  <a:moveTo>
                    <a:pt x="0" y="10800"/>
                  </a:moveTo>
                  <a:cubicBezTo>
                    <a:pt x="0" y="4835"/>
                    <a:pt x="4835" y="0"/>
                    <a:pt x="10800" y="0"/>
                  </a:cubicBezTo>
                  <a:cubicBezTo>
                    <a:pt x="16765" y="0"/>
                    <a:pt x="21600" y="4835"/>
                    <a:pt x="21600" y="10800"/>
                  </a:cubicBezTo>
                  <a:cubicBezTo>
                    <a:pt x="21600" y="16765"/>
                    <a:pt x="16765" y="21600"/>
                    <a:pt x="10800" y="21600"/>
                  </a:cubicBezTo>
                  <a:cubicBezTo>
                    <a:pt x="4835" y="21600"/>
                    <a:pt x="0" y="16765"/>
                    <a:pt x="0" y="10800"/>
                  </a:cubicBezTo>
                  <a:close/>
                  <a:moveTo>
                    <a:pt x="5400" y="10800"/>
                  </a:moveTo>
                  <a:cubicBezTo>
                    <a:pt x="5400" y="13782"/>
                    <a:pt x="7818" y="16200"/>
                    <a:pt x="10800" y="16200"/>
                  </a:cubicBezTo>
                  <a:cubicBezTo>
                    <a:pt x="13782" y="16200"/>
                    <a:pt x="16200" y="13782"/>
                    <a:pt x="16200" y="10800"/>
                  </a:cubicBezTo>
                  <a:cubicBezTo>
                    <a:pt x="16200" y="7818"/>
                    <a:pt x="13782" y="5400"/>
                    <a:pt x="10800" y="5400"/>
                  </a:cubicBezTo>
                  <a:cubicBezTo>
                    <a:pt x="7818" y="5400"/>
                    <a:pt x="5400" y="7818"/>
                    <a:pt x="5400" y="10800"/>
                  </a:cubicBezTo>
                  <a:close/>
                </a:path>
              </a:pathLst>
            </a:custGeom>
            <a:solidFill>
              <a:srgbClr val="FFFFFF"/>
            </a:solidFill>
            <a:ln w="2540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90" name="Rectangle 41"/>
            <xdr:cNvSpPr>
              <a:spLocks noChangeArrowheads="1"/>
            </xdr:cNvSpPr>
          </xdr:nvSpPr>
          <xdr:spPr bwMode="auto">
            <a:xfrm>
              <a:off x="1440" y="2112"/>
              <a:ext cx="288" cy="336"/>
            </a:xfrm>
            <a:prstGeom prst="rect">
              <a:avLst/>
            </a:prstGeom>
            <a:solidFill>
              <a:srgbClr val="9966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391" name="Rectangle 42"/>
            <xdr:cNvSpPr>
              <a:spLocks noChangeArrowheads="1"/>
            </xdr:cNvSpPr>
          </xdr:nvSpPr>
          <xdr:spPr bwMode="auto">
            <a:xfrm>
              <a:off x="1248" y="2304"/>
              <a:ext cx="288" cy="336"/>
            </a:xfrm>
            <a:prstGeom prst="rect">
              <a:avLst/>
            </a:prstGeom>
            <a:solidFill>
              <a:srgbClr val="99663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368" name="AutoShape 43"/>
          <xdr:cNvSpPr>
            <a:spLocks noChangeArrowheads="1"/>
          </xdr:cNvSpPr>
        </xdr:nvSpPr>
        <xdr:spPr bwMode="auto">
          <a:xfrm flipV="1">
            <a:off x="547" y="1861"/>
            <a:ext cx="83" cy="78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3123 w 21600"/>
              <a:gd name="T13" fmla="*/ 3046 h 21600"/>
              <a:gd name="T14" fmla="*/ 18477 w 21600"/>
              <a:gd name="T15" fmla="*/ 18554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700" y="21600"/>
                </a:lnTo>
                <a:lnTo>
                  <a:pt x="189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69" name="Freeform 44"/>
          <xdr:cNvSpPr>
            <a:spLocks/>
          </xdr:cNvSpPr>
        </xdr:nvSpPr>
        <xdr:spPr bwMode="auto">
          <a:xfrm flipH="1">
            <a:off x="97" y="1923"/>
            <a:ext cx="438" cy="117"/>
          </a:xfrm>
          <a:custGeom>
            <a:avLst/>
            <a:gdLst>
              <a:gd name="T0" fmla="*/ 53 w 3552"/>
              <a:gd name="T1" fmla="*/ 0 h 864"/>
              <a:gd name="T2" fmla="*/ 0 w 3552"/>
              <a:gd name="T3" fmla="*/ 0 h 864"/>
              <a:gd name="T4" fmla="*/ 0 w 3552"/>
              <a:gd name="T5" fmla="*/ 16 h 864"/>
              <a:gd name="T6" fmla="*/ 54 w 3552"/>
              <a:gd name="T7" fmla="*/ 16 h 864"/>
              <a:gd name="T8" fmla="*/ 53 w 3552"/>
              <a:gd name="T9" fmla="*/ 0 h 86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552"/>
              <a:gd name="T16" fmla="*/ 0 h 864"/>
              <a:gd name="T17" fmla="*/ 3552 w 3552"/>
              <a:gd name="T18" fmla="*/ 864 h 86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552" h="864">
                <a:moveTo>
                  <a:pt x="3504" y="0"/>
                </a:moveTo>
                <a:lnTo>
                  <a:pt x="0" y="0"/>
                </a:lnTo>
                <a:lnTo>
                  <a:pt x="0" y="864"/>
                </a:lnTo>
                <a:lnTo>
                  <a:pt x="3552" y="864"/>
                </a:lnTo>
                <a:lnTo>
                  <a:pt x="3504" y="0"/>
                </a:lnTo>
                <a:close/>
              </a:path>
            </a:pathLst>
          </a:custGeom>
          <a:solidFill>
            <a:srgbClr val="FFFFFF"/>
          </a:solidFill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70" name="Rectangle 45"/>
          <xdr:cNvSpPr>
            <a:spLocks noChangeArrowheads="1"/>
          </xdr:cNvSpPr>
        </xdr:nvSpPr>
        <xdr:spPr bwMode="auto">
          <a:xfrm flipH="1">
            <a:off x="565" y="1925"/>
            <a:ext cx="12" cy="13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71" name="Rectangle 46"/>
          <xdr:cNvSpPr>
            <a:spLocks noChangeArrowheads="1"/>
          </xdr:cNvSpPr>
        </xdr:nvSpPr>
        <xdr:spPr bwMode="auto">
          <a:xfrm flipH="1">
            <a:off x="393" y="1936"/>
            <a:ext cx="320" cy="13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72" name="Rectangle 47"/>
          <xdr:cNvSpPr>
            <a:spLocks noChangeArrowheads="1"/>
          </xdr:cNvSpPr>
        </xdr:nvSpPr>
        <xdr:spPr bwMode="auto">
          <a:xfrm flipH="1">
            <a:off x="393" y="1936"/>
            <a:ext cx="6" cy="13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73" name="Line 48"/>
          <xdr:cNvSpPr>
            <a:spLocks noChangeShapeType="1"/>
          </xdr:cNvSpPr>
        </xdr:nvSpPr>
        <xdr:spPr bwMode="auto">
          <a:xfrm flipH="1">
            <a:off x="559" y="1936"/>
            <a:ext cx="0" cy="13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4" name="Line 49"/>
          <xdr:cNvSpPr>
            <a:spLocks noChangeShapeType="1"/>
          </xdr:cNvSpPr>
        </xdr:nvSpPr>
        <xdr:spPr bwMode="auto">
          <a:xfrm flipH="1">
            <a:off x="583" y="1936"/>
            <a:ext cx="0" cy="13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5" name="Line 50"/>
          <xdr:cNvSpPr>
            <a:spLocks noChangeShapeType="1"/>
          </xdr:cNvSpPr>
        </xdr:nvSpPr>
        <xdr:spPr bwMode="auto">
          <a:xfrm flipH="1">
            <a:off x="594" y="1936"/>
            <a:ext cx="0" cy="13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6" name="Line 51"/>
          <xdr:cNvSpPr>
            <a:spLocks noChangeShapeType="1"/>
          </xdr:cNvSpPr>
        </xdr:nvSpPr>
        <xdr:spPr bwMode="auto">
          <a:xfrm flipH="1">
            <a:off x="618" y="1936"/>
            <a:ext cx="0" cy="13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7" name="Rectangle 52"/>
          <xdr:cNvSpPr>
            <a:spLocks noChangeArrowheads="1"/>
          </xdr:cNvSpPr>
        </xdr:nvSpPr>
        <xdr:spPr bwMode="auto">
          <a:xfrm flipH="1">
            <a:off x="601" y="1924"/>
            <a:ext cx="12" cy="6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78" name="Line 53"/>
          <xdr:cNvSpPr>
            <a:spLocks noChangeShapeType="1"/>
          </xdr:cNvSpPr>
        </xdr:nvSpPr>
        <xdr:spPr bwMode="auto">
          <a:xfrm flipV="1">
            <a:off x="607" y="1929"/>
            <a:ext cx="0" cy="7"/>
          </a:xfrm>
          <a:prstGeom prst="line">
            <a:avLst/>
          </a:prstGeom>
          <a:noFill/>
          <a:ln w="349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79" name="Rectangle 54"/>
          <xdr:cNvSpPr>
            <a:spLocks noChangeArrowheads="1"/>
          </xdr:cNvSpPr>
        </xdr:nvSpPr>
        <xdr:spPr bwMode="auto">
          <a:xfrm flipH="1">
            <a:off x="725" y="1962"/>
            <a:ext cx="11" cy="19"/>
          </a:xfrm>
          <a:prstGeom prst="rect">
            <a:avLst/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380" name="Oval 55"/>
          <xdr:cNvSpPr>
            <a:spLocks noChangeArrowheads="1"/>
          </xdr:cNvSpPr>
        </xdr:nvSpPr>
        <xdr:spPr bwMode="auto">
          <a:xfrm flipH="1">
            <a:off x="721" y="1977"/>
            <a:ext cx="18" cy="20"/>
          </a:xfrm>
          <a:prstGeom prst="ellipse">
            <a:avLst/>
          </a:prstGeom>
          <a:solidFill>
            <a:srgbClr val="FFFFFF"/>
          </a:solidFill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81" name="Line 56"/>
          <xdr:cNvSpPr>
            <a:spLocks noChangeShapeType="1"/>
          </xdr:cNvSpPr>
        </xdr:nvSpPr>
        <xdr:spPr bwMode="auto">
          <a:xfrm flipH="1">
            <a:off x="654" y="1949"/>
            <a:ext cx="0" cy="117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53" name="Text Box 57"/>
          <xdr:cNvSpPr txBox="1">
            <a:spLocks noChangeArrowheads="1"/>
          </xdr:cNvSpPr>
        </xdr:nvSpPr>
        <xdr:spPr bwMode="auto">
          <a:xfrm flipH="1">
            <a:off x="742" y="1969"/>
            <a:ext cx="36" cy="50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600"/>
              </a:lnSpc>
              <a:defRPr sz="1000"/>
            </a:pPr>
            <a:r>
              <a:rPr lang="en-US" sz="2400" b="0" i="0" strike="noStrike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  <a:p>
            <a:pPr algn="l" rtl="0">
              <a:lnSpc>
                <a:spcPts val="2600"/>
              </a:lnSpc>
              <a:defRPr sz="1000"/>
            </a:pPr>
            <a:endParaRPr lang="en-US" sz="2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54" name="Text Box 58"/>
          <xdr:cNvSpPr txBox="1">
            <a:spLocks noChangeArrowheads="1"/>
          </xdr:cNvSpPr>
        </xdr:nvSpPr>
        <xdr:spPr bwMode="auto">
          <a:xfrm flipH="1">
            <a:off x="593" y="1883"/>
            <a:ext cx="37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600"/>
              </a:lnSpc>
              <a:defRPr sz="1000"/>
            </a:pPr>
            <a:r>
              <a:rPr lang="en-US" sz="2400" b="0" i="0" strike="noStrike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  <a:p>
            <a:pPr algn="l" rtl="0">
              <a:lnSpc>
                <a:spcPts val="2600"/>
              </a:lnSpc>
              <a:defRPr sz="1000"/>
            </a:pPr>
            <a:endParaRPr lang="en-US" sz="2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55" name="Text Box 59"/>
          <xdr:cNvSpPr txBox="1">
            <a:spLocks noChangeArrowheads="1"/>
          </xdr:cNvSpPr>
        </xdr:nvSpPr>
        <xdr:spPr bwMode="auto">
          <a:xfrm flipH="1">
            <a:off x="537" y="1941"/>
            <a:ext cx="37" cy="42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700"/>
              </a:lnSpc>
              <a:defRPr sz="1000"/>
            </a:pPr>
            <a:r>
              <a:rPr lang="en-US" sz="2400" b="0" i="0" strike="noStrike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lnSpc>
                <a:spcPts val="2600"/>
              </a:lnSpc>
              <a:defRPr sz="1000"/>
            </a:pPr>
            <a:endParaRPr lang="en-US" sz="2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56" name="Text Box 60"/>
          <xdr:cNvSpPr txBox="1">
            <a:spLocks noChangeArrowheads="1"/>
          </xdr:cNvSpPr>
        </xdr:nvSpPr>
        <xdr:spPr bwMode="auto">
          <a:xfrm flipH="1">
            <a:off x="557" y="1839"/>
            <a:ext cx="36" cy="5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600"/>
              </a:lnSpc>
              <a:defRPr sz="1000"/>
            </a:pPr>
            <a:r>
              <a:rPr lang="en-US" sz="2400" b="0" i="0" strike="noStrike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  <a:p>
            <a:pPr algn="l" rtl="0">
              <a:lnSpc>
                <a:spcPts val="2600"/>
              </a:lnSpc>
              <a:defRPr sz="1000"/>
            </a:pPr>
            <a:endParaRPr lang="en-US" sz="2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57" name="Text Box 61"/>
          <xdr:cNvSpPr txBox="1">
            <a:spLocks noChangeArrowheads="1"/>
          </xdr:cNvSpPr>
        </xdr:nvSpPr>
        <xdr:spPr bwMode="auto">
          <a:xfrm flipH="1">
            <a:off x="577" y="1984"/>
            <a:ext cx="36" cy="4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600"/>
              </a:lnSpc>
              <a:defRPr sz="1000"/>
            </a:pPr>
            <a:r>
              <a:rPr lang="en-US" sz="2400" b="0" i="0" strike="noStrike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  <a:p>
            <a:pPr algn="l" rtl="0">
              <a:lnSpc>
                <a:spcPts val="2600"/>
              </a:lnSpc>
              <a:defRPr sz="1000"/>
            </a:pPr>
            <a:endParaRPr lang="en-US" sz="2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58" name="Text Box 62"/>
          <xdr:cNvSpPr txBox="1">
            <a:spLocks noChangeArrowheads="1"/>
          </xdr:cNvSpPr>
        </xdr:nvSpPr>
        <xdr:spPr bwMode="auto">
          <a:xfrm flipH="1">
            <a:off x="364" y="1925"/>
            <a:ext cx="36" cy="44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700"/>
              </a:lnSpc>
              <a:defRPr sz="1000"/>
            </a:pPr>
            <a:r>
              <a:rPr lang="en-US" sz="2400" b="0" i="0" strike="noStrike">
                <a:solidFill>
                  <a:srgbClr val="000000"/>
                </a:solidFill>
                <a:latin typeface="Arial"/>
                <a:cs typeface="Arial"/>
              </a:rPr>
              <a:t>6</a:t>
            </a:r>
          </a:p>
          <a:p>
            <a:pPr algn="l" rtl="0">
              <a:lnSpc>
                <a:spcPts val="2600"/>
              </a:lnSpc>
              <a:defRPr sz="1000"/>
            </a:pPr>
            <a:endParaRPr lang="en-US" sz="2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59" name="Text Box 63"/>
          <xdr:cNvSpPr txBox="1">
            <a:spLocks noChangeArrowheads="1"/>
          </xdr:cNvSpPr>
        </xdr:nvSpPr>
        <xdr:spPr bwMode="auto">
          <a:xfrm flipH="1">
            <a:off x="129" y="1964"/>
            <a:ext cx="37" cy="62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600"/>
              </a:lnSpc>
              <a:defRPr sz="1000"/>
            </a:pPr>
            <a:r>
              <a:rPr lang="en-US" sz="2400" b="0" i="0" strike="noStrike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  <a:p>
            <a:pPr algn="l" rtl="0">
              <a:lnSpc>
                <a:spcPts val="2600"/>
              </a:lnSpc>
              <a:defRPr sz="1000"/>
            </a:pPr>
            <a:endParaRPr lang="en-US" sz="24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</xdr:col>
      <xdr:colOff>123825</xdr:colOff>
      <xdr:row>102</xdr:row>
      <xdr:rowOff>85725</xdr:rowOff>
    </xdr:from>
    <xdr:to>
      <xdr:col>2</xdr:col>
      <xdr:colOff>2428875</xdr:colOff>
      <xdr:row>120</xdr:row>
      <xdr:rowOff>95250</xdr:rowOff>
    </xdr:to>
    <xdr:pic>
      <xdr:nvPicPr>
        <xdr:cNvPr id="4362" name="Picture 65" descr="C:\JEGfy07\OnsiteImages\Dist_2006-12-21\OtherDist\SlopeManifold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2831425"/>
          <a:ext cx="516255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1209675</xdr:colOff>
      <xdr:row>114</xdr:row>
      <xdr:rowOff>9525</xdr:rowOff>
    </xdr:from>
    <xdr:to>
      <xdr:col>2</xdr:col>
      <xdr:colOff>1504950</xdr:colOff>
      <xdr:row>116</xdr:row>
      <xdr:rowOff>104775</xdr:rowOff>
    </xdr:to>
    <xdr:sp macro="" textlink="">
      <xdr:nvSpPr>
        <xdr:cNvPr id="4163" name="Text Box 67"/>
        <xdr:cNvSpPr txBox="1">
          <a:spLocks noChangeArrowheads="1"/>
        </xdr:cNvSpPr>
      </xdr:nvSpPr>
      <xdr:spPr bwMode="auto">
        <a:xfrm>
          <a:off x="1552575" y="24698325"/>
          <a:ext cx="31527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Photo example of short pipe with 4 orifices to insert into a gravity lateral trench system</a:t>
          </a:r>
        </a:p>
      </xdr:txBody>
    </xdr:sp>
    <xdr:clientData/>
  </xdr:twoCellAnchor>
  <xdr:twoCellAnchor editAs="oneCell">
    <xdr:from>
      <xdr:col>1</xdr:col>
      <xdr:colOff>1628775</xdr:colOff>
      <xdr:row>81</xdr:row>
      <xdr:rowOff>142875</xdr:rowOff>
    </xdr:from>
    <xdr:to>
      <xdr:col>2</xdr:col>
      <xdr:colOff>2000250</xdr:colOff>
      <xdr:row>84</xdr:row>
      <xdr:rowOff>95250</xdr:rowOff>
    </xdr:to>
    <xdr:sp macro="" textlink="">
      <xdr:nvSpPr>
        <xdr:cNvPr id="4164" name="Text Box 68"/>
        <xdr:cNvSpPr txBox="1">
          <a:spLocks noChangeArrowheads="1"/>
        </xdr:cNvSpPr>
      </xdr:nvSpPr>
      <xdr:spPr bwMode="auto">
        <a:xfrm>
          <a:off x="1971675" y="18878550"/>
          <a:ext cx="3228975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Schematic showing components of manifold and short pipe into a gravity lateral trench</a:t>
          </a:r>
        </a:p>
      </xdr:txBody>
    </xdr:sp>
    <xdr:clientData/>
  </xdr:twoCellAnchor>
  <xdr:twoCellAnchor editAs="oneCell">
    <xdr:from>
      <xdr:col>2</xdr:col>
      <xdr:colOff>2695575</xdr:colOff>
      <xdr:row>117</xdr:row>
      <xdr:rowOff>66675</xdr:rowOff>
    </xdr:from>
    <xdr:to>
      <xdr:col>2</xdr:col>
      <xdr:colOff>5114925</xdr:colOff>
      <xdr:row>120</xdr:row>
      <xdr:rowOff>0</xdr:rowOff>
    </xdr:to>
    <xdr:sp macro="" textlink="">
      <xdr:nvSpPr>
        <xdr:cNvPr id="4165" name="Text Box 69"/>
        <xdr:cNvSpPr txBox="1">
          <a:spLocks noChangeArrowheads="1"/>
        </xdr:cNvSpPr>
      </xdr:nvSpPr>
      <xdr:spPr bwMode="auto">
        <a:xfrm>
          <a:off x="5895975" y="25241250"/>
          <a:ext cx="241935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Diagram of manifold system with 3 conventional gravity trenches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70"/>
  <sheetViews>
    <sheetView tabSelected="1" workbookViewId="0">
      <selection activeCell="B1" sqref="B1:F1"/>
    </sheetView>
  </sheetViews>
  <sheetFormatPr defaultRowHeight="12.75" x14ac:dyDescent="0.2"/>
  <cols>
    <col min="1" max="1" width="4.42578125" customWidth="1"/>
    <col min="2" max="2" width="54.7109375" customWidth="1"/>
    <col min="3" max="3" width="28.5703125" customWidth="1"/>
    <col min="4" max="4" width="12.85546875" customWidth="1"/>
    <col min="5" max="5" width="12.7109375" style="1" customWidth="1"/>
    <col min="6" max="6" width="12.5703125" customWidth="1"/>
    <col min="7" max="7" width="9.85546875" customWidth="1"/>
    <col min="8" max="9" width="15.7109375" customWidth="1"/>
  </cols>
  <sheetData>
    <row r="1" spans="1:9" ht="20.25" x14ac:dyDescent="0.3">
      <c r="A1" s="159"/>
      <c r="B1" s="262" t="s">
        <v>142</v>
      </c>
      <c r="C1" s="262"/>
      <c r="D1" s="262"/>
      <c r="E1" s="262"/>
      <c r="F1" s="262"/>
    </row>
    <row r="2" spans="1:9" ht="16.5" customHeight="1" x14ac:dyDescent="0.2">
      <c r="A2" s="159"/>
      <c r="B2" s="263" t="s">
        <v>182</v>
      </c>
      <c r="C2" s="264"/>
      <c r="D2" s="264"/>
      <c r="E2" s="264"/>
      <c r="F2" s="264"/>
    </row>
    <row r="3" spans="1:9" ht="21.75" customHeight="1" x14ac:dyDescent="0.2">
      <c r="A3" s="159"/>
      <c r="B3" s="159"/>
      <c r="C3" s="159"/>
      <c r="D3" s="159"/>
      <c r="E3" s="159"/>
      <c r="F3" s="159"/>
    </row>
    <row r="4" spans="1:9" ht="30.75" customHeight="1" x14ac:dyDescent="0.25">
      <c r="A4" s="160"/>
      <c r="B4" s="161" t="s">
        <v>23</v>
      </c>
      <c r="C4" s="162" t="s">
        <v>235</v>
      </c>
      <c r="D4" s="163" t="s">
        <v>147</v>
      </c>
      <c r="E4" s="164" t="s">
        <v>192</v>
      </c>
      <c r="F4" s="162" t="s">
        <v>0</v>
      </c>
    </row>
    <row r="5" spans="1:9" ht="16.5" customHeight="1" x14ac:dyDescent="0.25">
      <c r="A5" s="160"/>
      <c r="B5" s="161"/>
      <c r="C5" s="162"/>
      <c r="E5" s="154" t="s">
        <v>170</v>
      </c>
      <c r="F5" s="162"/>
    </row>
    <row r="6" spans="1:9" ht="16.5" customHeight="1" x14ac:dyDescent="0.2">
      <c r="A6" s="165">
        <v>1</v>
      </c>
      <c r="B6" s="165" t="s">
        <v>36</v>
      </c>
      <c r="C6" s="166" t="s">
        <v>52</v>
      </c>
      <c r="D6" s="246" t="str">
        <f>IF(E6*E7&gt;3000,"A daily","")</f>
        <v/>
      </c>
      <c r="E6" s="153"/>
      <c r="F6" s="154" t="s">
        <v>219</v>
      </c>
    </row>
    <row r="7" spans="1:9" ht="16.5" customHeight="1" x14ac:dyDescent="0.2">
      <c r="A7" s="165">
        <v>2</v>
      </c>
      <c r="B7" s="165" t="s">
        <v>227</v>
      </c>
      <c r="C7" s="166" t="s">
        <v>52</v>
      </c>
      <c r="D7" s="246" t="str">
        <f>IF(E6*E7&gt;3000,"flow of","")</f>
        <v/>
      </c>
      <c r="E7" s="153">
        <v>120</v>
      </c>
      <c r="F7" s="167" t="s">
        <v>2</v>
      </c>
    </row>
    <row r="8" spans="1:9" ht="16.5" customHeight="1" x14ac:dyDescent="0.2">
      <c r="A8" s="165">
        <v>3</v>
      </c>
      <c r="B8" s="165" t="s">
        <v>1</v>
      </c>
      <c r="C8" s="165" t="s">
        <v>35</v>
      </c>
      <c r="D8" s="168" t="str">
        <f>IF(E6=0,"",IF(E7=0,"",IF(E5="Commercial",IF(E6*E7&lt;100,100,E6*E7),IF(E6*E7&lt;240,240,E6*E7))))</f>
        <v/>
      </c>
      <c r="E8" s="2"/>
      <c r="F8" s="167" t="s">
        <v>2</v>
      </c>
    </row>
    <row r="9" spans="1:9" ht="16.5" customHeight="1" x14ac:dyDescent="0.2">
      <c r="A9" s="165">
        <v>4</v>
      </c>
      <c r="B9" s="165" t="s">
        <v>11</v>
      </c>
      <c r="C9" s="166" t="s">
        <v>52</v>
      </c>
      <c r="D9" s="246" t="str">
        <f>IF(E6*E7&gt;3000,"is DNR's","")</f>
        <v/>
      </c>
      <c r="E9" s="153">
        <v>18</v>
      </c>
      <c r="F9" s="167" t="s">
        <v>12</v>
      </c>
    </row>
    <row r="10" spans="1:9" ht="16.5" customHeight="1" thickBot="1" x14ac:dyDescent="0.25">
      <c r="A10" s="165">
        <v>5</v>
      </c>
      <c r="B10" s="165" t="s">
        <v>3</v>
      </c>
      <c r="C10" s="166" t="s">
        <v>52</v>
      </c>
      <c r="D10" s="246" t="str">
        <f>IF(E6*E7&gt;3000,"authority","")</f>
        <v/>
      </c>
      <c r="E10" s="198"/>
      <c r="F10" s="167" t="s">
        <v>6</v>
      </c>
    </row>
    <row r="11" spans="1:9" ht="16.5" customHeight="1" thickBot="1" x14ac:dyDescent="0.3">
      <c r="A11" s="165">
        <v>6</v>
      </c>
      <c r="B11" s="190" t="s">
        <v>175</v>
      </c>
      <c r="C11" s="165" t="s">
        <v>37</v>
      </c>
      <c r="D11" s="233" t="str">
        <f>IF(E10=0,"",IF(MAX(D8,E8)&gt;3000,"See DNR",MAX(D8,E8)/E10))</f>
        <v/>
      </c>
      <c r="E11" s="201"/>
      <c r="F11" s="167" t="s">
        <v>8</v>
      </c>
      <c r="I11" s="213" t="s">
        <v>191</v>
      </c>
    </row>
    <row r="12" spans="1:9" ht="16.5" customHeight="1" thickBot="1" x14ac:dyDescent="0.25">
      <c r="A12" s="165">
        <v>7</v>
      </c>
      <c r="B12" s="165" t="s">
        <v>193</v>
      </c>
      <c r="C12" s="166" t="s">
        <v>52</v>
      </c>
      <c r="D12" s="239" t="str">
        <f>IF(OR(E12="Select",E12=""),"",INDEX(H12:H19,H20))</f>
        <v/>
      </c>
      <c r="E12" s="211" t="s">
        <v>191</v>
      </c>
      <c r="F12" s="167" t="s">
        <v>16</v>
      </c>
      <c r="H12" s="212">
        <v>1.5</v>
      </c>
      <c r="I12" s="212" t="s">
        <v>187</v>
      </c>
    </row>
    <row r="13" spans="1:9" ht="16.5" customHeight="1" thickBot="1" x14ac:dyDescent="0.3">
      <c r="A13" s="165">
        <v>8</v>
      </c>
      <c r="B13" s="190" t="s">
        <v>176</v>
      </c>
      <c r="C13" s="165" t="s">
        <v>38</v>
      </c>
      <c r="D13" s="233" t="str">
        <f>IF(D12="","",IF(MAX(D11:E11)/D12=0,"",MAX(D11:E11)/D12))</f>
        <v/>
      </c>
      <c r="E13" s="201"/>
      <c r="F13" s="167" t="s">
        <v>16</v>
      </c>
      <c r="G13" s="244">
        <f>MIN(D14:E14,6)</f>
        <v>6</v>
      </c>
      <c r="H13" s="212">
        <v>2</v>
      </c>
      <c r="I13" s="212" t="s">
        <v>188</v>
      </c>
    </row>
    <row r="14" spans="1:9" ht="16.5" customHeight="1" x14ac:dyDescent="0.2">
      <c r="A14" s="165">
        <v>9</v>
      </c>
      <c r="B14" s="165" t="s">
        <v>9</v>
      </c>
      <c r="C14" s="165" t="s">
        <v>79</v>
      </c>
      <c r="D14" s="199" t="str">
        <f>IF(D13="","",ROUNDUP(MAX(D13:E13)/1000,0))</f>
        <v/>
      </c>
      <c r="E14" s="2"/>
      <c r="G14" s="244">
        <f>IF(D14&gt;6,6,MAX(D14,6))</f>
        <v>6</v>
      </c>
      <c r="H14" s="212">
        <v>2</v>
      </c>
      <c r="I14" s="212" t="s">
        <v>183</v>
      </c>
    </row>
    <row r="15" spans="1:9" ht="16.5" customHeight="1" x14ac:dyDescent="0.2">
      <c r="A15" s="165">
        <v>10</v>
      </c>
      <c r="B15" s="165" t="s">
        <v>18</v>
      </c>
      <c r="C15" s="165" t="s">
        <v>39</v>
      </c>
      <c r="D15" s="168" t="str">
        <f>IF(MAX(D14:E14)=0,"",MAX(D8:E8)/IF(AND(D14&lt;7,E14&gt;D14),E14,IF(AND(D14&gt;6,E14=6),6,D14)))</f>
        <v/>
      </c>
      <c r="E15" s="202"/>
      <c r="F15" s="167" t="s">
        <v>2</v>
      </c>
      <c r="H15" s="212">
        <v>2</v>
      </c>
      <c r="I15" s="212" t="s">
        <v>184</v>
      </c>
    </row>
    <row r="16" spans="1:9" ht="16.5" customHeight="1" thickBot="1" x14ac:dyDescent="0.25">
      <c r="A16" s="165">
        <v>11</v>
      </c>
      <c r="B16" s="165" t="s">
        <v>180</v>
      </c>
      <c r="C16" s="165" t="s">
        <v>40</v>
      </c>
      <c r="D16" s="197" t="str">
        <f>IF(MAX(D14:E14)=0,"",MAX(D13:E13)/IF(AND(D14&lt;7,E14&gt;D14),E14,IF(AND(D14&gt;6,E14=6),6,D14)))</f>
        <v/>
      </c>
      <c r="E16" s="203"/>
      <c r="F16" s="167" t="s">
        <v>16</v>
      </c>
      <c r="H16" s="212">
        <v>2.0830000000000002</v>
      </c>
      <c r="I16" s="212" t="s">
        <v>189</v>
      </c>
    </row>
    <row r="17" spans="1:9" ht="16.5" customHeight="1" thickBot="1" x14ac:dyDescent="0.3">
      <c r="A17" s="165">
        <v>12</v>
      </c>
      <c r="B17" s="190" t="s">
        <v>13</v>
      </c>
      <c r="C17" s="165" t="s">
        <v>81</v>
      </c>
      <c r="D17" s="233" t="str">
        <f>IF(D16="","",IF(AND(E18,ROUNDUP(D16/100,0))&lt;2,2,IF(E18&gt;ROUNDUP(D16/100,0),D16/E18,ROUNDUP(D16/100,0))))</f>
        <v/>
      </c>
      <c r="E17" s="201"/>
      <c r="F17" s="167"/>
      <c r="H17" s="212">
        <v>3</v>
      </c>
      <c r="I17" s="212" t="s">
        <v>185</v>
      </c>
    </row>
    <row r="18" spans="1:9" ht="16.5" customHeight="1" thickBot="1" x14ac:dyDescent="0.3">
      <c r="A18" s="165">
        <v>13</v>
      </c>
      <c r="B18" s="190" t="s">
        <v>179</v>
      </c>
      <c r="C18" s="165" t="s">
        <v>41</v>
      </c>
      <c r="D18" s="234" t="str">
        <f>IF(MAX(D17:E17)=0,"",MAX(D16:E16)/MAX(D17:E17))</f>
        <v/>
      </c>
      <c r="E18" s="196"/>
      <c r="F18" s="167" t="s">
        <v>16</v>
      </c>
      <c r="H18" s="212">
        <v>3</v>
      </c>
      <c r="I18" s="212" t="s">
        <v>190</v>
      </c>
    </row>
    <row r="19" spans="1:9" ht="16.5" customHeight="1" thickBot="1" x14ac:dyDescent="0.3">
      <c r="A19" s="165">
        <v>14</v>
      </c>
      <c r="B19" s="190" t="s">
        <v>19</v>
      </c>
      <c r="C19" s="165" t="s">
        <v>46</v>
      </c>
      <c r="D19" s="233" t="str">
        <f>IF(MAX(D16:E16)=0,"",MAX(D16:E16)*0.5)</f>
        <v/>
      </c>
      <c r="E19" s="238"/>
      <c r="F19" s="167" t="s">
        <v>20</v>
      </c>
      <c r="H19" s="212">
        <v>3.5</v>
      </c>
      <c r="I19" s="212" t="s">
        <v>186</v>
      </c>
    </row>
    <row r="20" spans="1:9" ht="24" customHeight="1" x14ac:dyDescent="0.25">
      <c r="A20" s="160"/>
      <c r="B20" s="170" t="s">
        <v>14</v>
      </c>
      <c r="C20" s="172"/>
      <c r="D20" s="200" t="str">
        <f>IF(E19="","",IF(MINA(D19:E19)=0,"",IF((D19-E19)/D19&gt;0.1,"Larger dose volume recommended","")))</f>
        <v/>
      </c>
      <c r="E20" s="204"/>
      <c r="F20" s="173"/>
      <c r="H20" s="212" t="e">
        <f>MATCH(E12,I12:I19,0)</f>
        <v>#N/A</v>
      </c>
      <c r="I20" s="212"/>
    </row>
    <row r="21" spans="1:9" ht="16.5" customHeight="1" x14ac:dyDescent="0.2">
      <c r="A21" s="165">
        <v>15</v>
      </c>
      <c r="B21" s="165" t="s">
        <v>15</v>
      </c>
      <c r="C21" s="166" t="s">
        <v>52</v>
      </c>
      <c r="D21" s="165"/>
      <c r="E21" s="153">
        <v>4</v>
      </c>
      <c r="F21" s="167" t="s">
        <v>16</v>
      </c>
    </row>
    <row r="22" spans="1:9" ht="16.5" customHeight="1" x14ac:dyDescent="0.2">
      <c r="A22" s="165">
        <v>16</v>
      </c>
      <c r="B22" s="165" t="s">
        <v>34</v>
      </c>
      <c r="C22" s="166" t="s">
        <v>52</v>
      </c>
      <c r="D22" s="165"/>
      <c r="E22" s="156">
        <v>0.25</v>
      </c>
      <c r="F22" s="167" t="s">
        <v>12</v>
      </c>
      <c r="G22" s="187">
        <v>0.15625</v>
      </c>
    </row>
    <row r="23" spans="1:9" ht="16.5" customHeight="1" x14ac:dyDescent="0.2">
      <c r="A23" s="165">
        <v>17</v>
      </c>
      <c r="B23" s="165" t="s">
        <v>139</v>
      </c>
      <c r="C23" s="165" t="s">
        <v>242</v>
      </c>
      <c r="D23" s="174" t="str">
        <f>IF(D19="","",IF(E21="","",IF(E22="","",11.79*E22^2*SQRT(E21))))</f>
        <v/>
      </c>
      <c r="E23" s="203"/>
      <c r="F23" s="167" t="s">
        <v>17</v>
      </c>
      <c r="G23" s="187">
        <v>0.1875</v>
      </c>
    </row>
    <row r="24" spans="1:9" ht="16.5" customHeight="1" x14ac:dyDescent="0.2">
      <c r="A24" s="165">
        <v>18</v>
      </c>
      <c r="B24" s="165" t="s">
        <v>49</v>
      </c>
      <c r="C24" s="166" t="s">
        <v>52</v>
      </c>
      <c r="D24" s="160"/>
      <c r="E24" s="153">
        <v>25</v>
      </c>
      <c r="F24" s="167" t="s">
        <v>17</v>
      </c>
      <c r="G24" s="187">
        <v>0.25</v>
      </c>
    </row>
    <row r="25" spans="1:9" ht="16.5" customHeight="1" thickBot="1" x14ac:dyDescent="0.25">
      <c r="A25" s="165">
        <v>19</v>
      </c>
      <c r="B25" s="165" t="s">
        <v>50</v>
      </c>
      <c r="C25" s="165" t="s">
        <v>73</v>
      </c>
      <c r="D25" s="197" t="str">
        <f>IF(D23="","",ROUND(E24/D23,0))</f>
        <v/>
      </c>
      <c r="E25" s="205"/>
      <c r="F25" s="167"/>
      <c r="G25" s="187">
        <v>0.3125</v>
      </c>
    </row>
    <row r="26" spans="1:9" ht="16.5" customHeight="1" thickBot="1" x14ac:dyDescent="0.3">
      <c r="A26" s="165">
        <v>20</v>
      </c>
      <c r="B26" s="190" t="s">
        <v>177</v>
      </c>
      <c r="C26" s="165" t="s">
        <v>72</v>
      </c>
      <c r="D26" s="233" t="str">
        <f>IF(D25="","",IF(MAX(D17:E17)=0,"",ROUND(D25/MAX(D17:E17),0)))</f>
        <v/>
      </c>
      <c r="E26" s="214"/>
      <c r="F26" s="167"/>
      <c r="G26" s="187">
        <v>0.375</v>
      </c>
    </row>
    <row r="27" spans="1:9" ht="16.5" customHeight="1" x14ac:dyDescent="0.2">
      <c r="A27" s="165">
        <v>21</v>
      </c>
      <c r="B27" s="165" t="s">
        <v>56</v>
      </c>
      <c r="C27" s="165" t="s">
        <v>55</v>
      </c>
      <c r="D27" s="215" t="str">
        <f>IF(MAX(D23:E23)*MAX(D26:E26)=0,"",MAX(D23:E23)*MAX(D26:E26))</f>
        <v/>
      </c>
      <c r="E27" s="203"/>
      <c r="F27" s="167" t="s">
        <v>17</v>
      </c>
      <c r="G27" s="187">
        <v>0.4375</v>
      </c>
    </row>
    <row r="28" spans="1:9" ht="16.5" customHeight="1" thickBot="1" x14ac:dyDescent="0.25">
      <c r="A28" s="165">
        <v>22</v>
      </c>
      <c r="B28" s="165" t="s">
        <v>57</v>
      </c>
      <c r="C28" s="165" t="s">
        <v>58</v>
      </c>
      <c r="D28" s="197" t="str">
        <f>IF(MAX(D26:E26)*MAX(D17:E17)=0,"",MAX(D26:E26)*MAX(D17:E17))</f>
        <v/>
      </c>
      <c r="E28" s="2"/>
      <c r="F28" s="167"/>
      <c r="G28" s="187">
        <v>0.5</v>
      </c>
    </row>
    <row r="29" spans="1:9" ht="16.5" customHeight="1" thickBot="1" x14ac:dyDescent="0.3">
      <c r="A29" s="165">
        <v>23</v>
      </c>
      <c r="B29" s="190" t="s">
        <v>178</v>
      </c>
      <c r="C29" s="165" t="s">
        <v>60</v>
      </c>
      <c r="D29" s="234" t="str">
        <f>IF(MAX(D23:E23)*MAX(D28:E28)=0,"",MAX(D23:E23)*MAX(D28:E28))</f>
        <v/>
      </c>
      <c r="E29" s="206"/>
      <c r="F29" s="167" t="s">
        <v>17</v>
      </c>
      <c r="G29" s="187">
        <v>0.5625</v>
      </c>
    </row>
    <row r="30" spans="1:9" ht="16.5" customHeight="1" x14ac:dyDescent="0.2">
      <c r="A30" s="165">
        <v>24</v>
      </c>
      <c r="B30" s="166" t="s">
        <v>26</v>
      </c>
      <c r="C30" s="165" t="s">
        <v>232</v>
      </c>
      <c r="D30" s="192"/>
      <c r="E30" s="157"/>
      <c r="F30" s="167" t="s">
        <v>12</v>
      </c>
      <c r="G30" s="187">
        <v>0.625</v>
      </c>
    </row>
    <row r="31" spans="1:9" ht="16.5" customHeight="1" x14ac:dyDescent="0.2">
      <c r="A31" s="165">
        <v>25</v>
      </c>
      <c r="B31" s="166" t="s">
        <v>143</v>
      </c>
      <c r="C31" s="165" t="s">
        <v>52</v>
      </c>
      <c r="D31" s="165"/>
      <c r="E31" s="158">
        <v>40</v>
      </c>
      <c r="F31" s="167"/>
      <c r="G31" s="187">
        <v>0.6875</v>
      </c>
    </row>
    <row r="32" spans="1:9" ht="16.5" customHeight="1" x14ac:dyDescent="0.2">
      <c r="A32" s="165">
        <v>26</v>
      </c>
      <c r="B32" s="166" t="s">
        <v>154</v>
      </c>
      <c r="C32" s="165" t="s">
        <v>233</v>
      </c>
      <c r="D32" s="174" t="str">
        <f>IF(OR(E21="",E22="",E30=""),"",0.4085*D29/Tables!N98^2)</f>
        <v/>
      </c>
      <c r="E32" s="159"/>
      <c r="F32" s="167" t="s">
        <v>174</v>
      </c>
      <c r="G32" s="187">
        <v>0.75</v>
      </c>
    </row>
    <row r="33" spans="1:6" ht="16.5" customHeight="1" x14ac:dyDescent="0.2">
      <c r="A33" s="176">
        <v>27</v>
      </c>
      <c r="B33" s="176" t="s">
        <v>53</v>
      </c>
      <c r="C33" s="176" t="s">
        <v>51</v>
      </c>
      <c r="D33" s="175" t="str">
        <f>IF(MAX(D26:E26)=0,"",MAX(D18:E18)/MAX(D26:E26))</f>
        <v/>
      </c>
      <c r="E33" s="207"/>
      <c r="F33" s="177" t="s">
        <v>16</v>
      </c>
    </row>
    <row r="34" spans="1:6" ht="16.5" hidden="1" customHeight="1" x14ac:dyDescent="0.2">
      <c r="A34" s="176">
        <v>28</v>
      </c>
      <c r="B34" s="177" t="s">
        <v>54</v>
      </c>
      <c r="C34" s="176" t="s">
        <v>59</v>
      </c>
      <c r="D34" s="178" t="str">
        <f>IF(D33="","",0.05*D33)</f>
        <v/>
      </c>
      <c r="E34" s="207"/>
      <c r="F34" s="177" t="s">
        <v>85</v>
      </c>
    </row>
    <row r="35" spans="1:6" ht="24" customHeight="1" x14ac:dyDescent="0.25">
      <c r="A35" s="165"/>
      <c r="B35" s="170" t="s">
        <v>64</v>
      </c>
      <c r="C35" s="265" t="str">
        <f>IF(D32="","",IF(D32&lt;2,"Caution, velocity in supply/manifold line is under 2 fps; consider a smaller pipe diameter (Line24)",IF(D32&gt;5,"Caution, Velocity in supply/manifold line is over 5 fps; consider a larger pipe diameter (Line24)","")))</f>
        <v/>
      </c>
      <c r="D35" s="266"/>
      <c r="E35" s="266"/>
      <c r="F35" s="245"/>
    </row>
    <row r="36" spans="1:6" ht="16.5" customHeight="1" x14ac:dyDescent="0.2">
      <c r="A36" s="165">
        <v>29</v>
      </c>
      <c r="B36" s="165" t="s">
        <v>44</v>
      </c>
      <c r="C36" s="165" t="s">
        <v>61</v>
      </c>
      <c r="D36" s="169" t="str">
        <f>IF(MAX(D19:E19)=0,"",IF(MAX(D15:E15)/MAX(D19:E19)=0,"",MAX(D15:E15)/MAX(D19:E19)))</f>
        <v/>
      </c>
      <c r="E36" s="205"/>
      <c r="F36" s="167"/>
    </row>
    <row r="37" spans="1:6" ht="16.5" customHeight="1" x14ac:dyDescent="0.2">
      <c r="A37" s="165">
        <v>30</v>
      </c>
      <c r="B37" s="165" t="s">
        <v>42</v>
      </c>
      <c r="C37" s="165" t="s">
        <v>63</v>
      </c>
      <c r="D37" s="169" t="str">
        <f>IF(MAX(D8:E8)=0,"",IF(MAX(D8:E8)/MAX(D19:E19)=0,"",MAX(D8:E8)/MAX(D19:E19)))</f>
        <v/>
      </c>
      <c r="E37" s="205"/>
      <c r="F37" s="167"/>
    </row>
    <row r="38" spans="1:6" ht="16.5" customHeight="1" x14ac:dyDescent="0.2">
      <c r="A38" s="165">
        <v>31</v>
      </c>
      <c r="B38" s="165" t="s">
        <v>65</v>
      </c>
      <c r="C38" s="165" t="s">
        <v>62</v>
      </c>
      <c r="D38" s="169" t="str">
        <f>IF(D29="","",MAX(D19:E19)/D29)</f>
        <v/>
      </c>
      <c r="E38" s="8"/>
      <c r="F38" s="167" t="s">
        <v>21</v>
      </c>
    </row>
    <row r="39" spans="1:6" ht="16.5" customHeight="1" x14ac:dyDescent="0.2">
      <c r="A39" s="165">
        <v>32</v>
      </c>
      <c r="B39" s="165" t="s">
        <v>88</v>
      </c>
      <c r="C39" s="165" t="s">
        <v>155</v>
      </c>
      <c r="D39" s="169" t="str">
        <f>IF(D37="","",1440/D37-(MAX(D38:E38)))</f>
        <v/>
      </c>
      <c r="E39" s="205"/>
      <c r="F39" s="167" t="s">
        <v>21</v>
      </c>
    </row>
    <row r="40" spans="1:6" ht="16.5" customHeight="1" x14ac:dyDescent="0.2">
      <c r="A40" s="165">
        <v>33</v>
      </c>
      <c r="B40" s="165" t="s">
        <v>43</v>
      </c>
      <c r="C40" s="165" t="s">
        <v>156</v>
      </c>
      <c r="D40" s="169" t="str">
        <f>IF(D38="","",IF(D37*MAX(D38:E38)=0,"",D37*MAX(D38:E38)))</f>
        <v/>
      </c>
      <c r="E40" s="208"/>
      <c r="F40" s="167" t="s">
        <v>21</v>
      </c>
    </row>
    <row r="41" spans="1:6" ht="24" customHeight="1" thickBot="1" x14ac:dyDescent="0.3">
      <c r="A41" s="160"/>
      <c r="B41" s="170" t="s">
        <v>22</v>
      </c>
      <c r="C41" s="171"/>
      <c r="D41" s="194"/>
      <c r="E41" s="209"/>
      <c r="F41" s="173"/>
    </row>
    <row r="42" spans="1:6" ht="16.5" customHeight="1" thickBot="1" x14ac:dyDescent="0.3">
      <c r="A42" s="165">
        <v>34</v>
      </c>
      <c r="B42" s="166" t="s">
        <v>171</v>
      </c>
      <c r="C42" s="165" t="s">
        <v>66</v>
      </c>
      <c r="D42" s="236"/>
      <c r="E42" s="235"/>
      <c r="F42" s="167" t="s">
        <v>16</v>
      </c>
    </row>
    <row r="43" spans="1:6" ht="16.5" customHeight="1" x14ac:dyDescent="0.2">
      <c r="A43" s="165">
        <v>35</v>
      </c>
      <c r="B43" s="167" t="s">
        <v>25</v>
      </c>
      <c r="C43" s="165" t="s">
        <v>67</v>
      </c>
      <c r="D43" s="165"/>
      <c r="E43" s="195"/>
      <c r="F43" s="167" t="s">
        <v>30</v>
      </c>
    </row>
    <row r="44" spans="1:6" ht="16.5" customHeight="1" x14ac:dyDescent="0.2">
      <c r="A44" s="165">
        <v>36</v>
      </c>
      <c r="B44" s="167" t="s">
        <v>238</v>
      </c>
      <c r="C44" s="165" t="s">
        <v>237</v>
      </c>
      <c r="D44" s="188"/>
      <c r="E44" s="152"/>
      <c r="F44" s="167" t="s">
        <v>30</v>
      </c>
    </row>
    <row r="45" spans="1:6" ht="16.5" customHeight="1" x14ac:dyDescent="0.2">
      <c r="A45" s="165">
        <v>37</v>
      </c>
      <c r="B45" s="167" t="s">
        <v>27</v>
      </c>
      <c r="C45" s="165" t="s">
        <v>254</v>
      </c>
      <c r="D45" s="188"/>
      <c r="E45" s="152"/>
      <c r="F45" s="167" t="s">
        <v>30</v>
      </c>
    </row>
    <row r="46" spans="1:6" ht="16.5" customHeight="1" x14ac:dyDescent="0.2">
      <c r="A46" s="165">
        <v>38</v>
      </c>
      <c r="B46" s="167" t="s">
        <v>136</v>
      </c>
      <c r="C46" s="165" t="s">
        <v>239</v>
      </c>
      <c r="D46" s="165"/>
      <c r="E46" s="8"/>
      <c r="F46" s="167" t="s">
        <v>16</v>
      </c>
    </row>
    <row r="47" spans="1:6" ht="16.5" customHeight="1" x14ac:dyDescent="0.2">
      <c r="A47" s="165">
        <v>39</v>
      </c>
      <c r="B47" s="181" t="s">
        <v>29</v>
      </c>
      <c r="C47" s="165" t="s">
        <v>157</v>
      </c>
      <c r="D47" s="169" t="str">
        <f>IF(D29="","",IF(E43="","",1.2*10.44*(D29/150)^1.852*Tables!N98^(-4.871)*E43))</f>
        <v/>
      </c>
      <c r="E47" s="8"/>
      <c r="F47" s="167" t="s">
        <v>16</v>
      </c>
    </row>
    <row r="48" spans="1:6" ht="16.5" customHeight="1" thickBot="1" x14ac:dyDescent="0.25">
      <c r="A48" s="165">
        <v>40</v>
      </c>
      <c r="B48" s="181" t="s">
        <v>138</v>
      </c>
      <c r="C48" s="165" t="s">
        <v>181</v>
      </c>
      <c r="D48" s="191"/>
      <c r="E48" s="155"/>
      <c r="F48" s="167" t="s">
        <v>16</v>
      </c>
    </row>
    <row r="49" spans="1:6" ht="16.5" customHeight="1" thickBot="1" x14ac:dyDescent="0.3">
      <c r="A49" s="165">
        <v>41</v>
      </c>
      <c r="B49" s="166" t="s">
        <v>172</v>
      </c>
      <c r="C49" s="165" t="s">
        <v>158</v>
      </c>
      <c r="D49" s="234" t="str">
        <f>IF(D47="","",D47+E48)</f>
        <v/>
      </c>
      <c r="E49" s="196"/>
      <c r="F49" s="167" t="s">
        <v>16</v>
      </c>
    </row>
    <row r="50" spans="1:6" ht="16.5" customHeight="1" thickBot="1" x14ac:dyDescent="0.3">
      <c r="A50" s="165">
        <v>42</v>
      </c>
      <c r="B50" s="166" t="s">
        <v>173</v>
      </c>
      <c r="C50" s="165" t="s">
        <v>68</v>
      </c>
      <c r="D50" s="234" t="str">
        <f>IF(E6="","",IF(E21="","",E21))</f>
        <v/>
      </c>
      <c r="E50" s="196"/>
      <c r="F50" s="167" t="s">
        <v>16</v>
      </c>
    </row>
    <row r="51" spans="1:6" ht="16.5" customHeight="1" thickBot="1" x14ac:dyDescent="0.3">
      <c r="A51" s="165">
        <v>43</v>
      </c>
      <c r="B51" s="180" t="s">
        <v>31</v>
      </c>
      <c r="C51" s="165" t="s">
        <v>159</v>
      </c>
      <c r="D51" s="234" t="str">
        <f>IF(E42&gt;0,E42+SUM(D49:D50),IF(E43&gt;0,E42+SUM(D49:D50),""))</f>
        <v/>
      </c>
      <c r="E51" s="196"/>
      <c r="F51" s="167" t="s">
        <v>16</v>
      </c>
    </row>
    <row r="52" spans="1:6" ht="24" customHeight="1" thickBot="1" x14ac:dyDescent="0.3">
      <c r="A52" s="165"/>
      <c r="B52" s="170" t="s">
        <v>45</v>
      </c>
      <c r="C52" s="179" t="str">
        <f>IF(D51="","",IF(E42="","For more accurate TDH, Enter elevation head (Line34)",IF(D50="","For more accurate TDH, Enter design operating head (Line15)",IF(D47="","For more accurate TDH, Enter supply line data (Lines35, 36, 37)",""))))</f>
        <v/>
      </c>
      <c r="D52" s="193"/>
      <c r="E52" s="159"/>
      <c r="F52" s="167"/>
    </row>
    <row r="53" spans="1:6" ht="16.5" customHeight="1" thickBot="1" x14ac:dyDescent="0.3">
      <c r="A53" s="165">
        <v>44</v>
      </c>
      <c r="B53" s="182" t="s">
        <v>70</v>
      </c>
      <c r="C53" s="165" t="s">
        <v>69</v>
      </c>
      <c r="D53" s="234" t="str">
        <f>IF(D29="","",D29+2)</f>
        <v/>
      </c>
      <c r="E53" s="210"/>
      <c r="F53" s="167" t="s">
        <v>17</v>
      </c>
    </row>
    <row r="54" spans="1:6" ht="16.5" customHeight="1" thickBot="1" x14ac:dyDescent="0.3">
      <c r="A54" s="165">
        <v>45</v>
      </c>
      <c r="B54" s="182" t="s">
        <v>140</v>
      </c>
      <c r="C54" s="165" t="s">
        <v>220</v>
      </c>
      <c r="D54" s="234" t="str">
        <f>IF(D51="","",D51)</f>
        <v/>
      </c>
      <c r="E54" s="210"/>
      <c r="F54" s="167" t="s">
        <v>16</v>
      </c>
    </row>
    <row r="61" spans="1:6" x14ac:dyDescent="0.2">
      <c r="A61" s="1"/>
    </row>
    <row r="62" spans="1:6" x14ac:dyDescent="0.2">
      <c r="A62" s="1"/>
    </row>
    <row r="63" spans="1:6" x14ac:dyDescent="0.2">
      <c r="A63" s="1"/>
    </row>
    <row r="64" spans="1:6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</sheetData>
  <sheetProtection password="C65C" sheet="1" objects="1" scenarios="1"/>
  <mergeCells count="3">
    <mergeCell ref="B1:F1"/>
    <mergeCell ref="B2:F2"/>
    <mergeCell ref="C35:E35"/>
  </mergeCells>
  <phoneticPr fontId="0" type="noConversion"/>
  <conditionalFormatting sqref="D32">
    <cfRule type="cellIs" dxfId="2" priority="1" stopIfTrue="1" operator="greaterThan">
      <formula>5</formula>
    </cfRule>
    <cfRule type="cellIs" dxfId="1" priority="2" stopIfTrue="1" operator="lessThan">
      <formula>2</formula>
    </cfRule>
  </conditionalFormatting>
  <conditionalFormatting sqref="D8">
    <cfRule type="cellIs" dxfId="0" priority="3" stopIfTrue="1" operator="greaterThan">
      <formula>3000</formula>
    </cfRule>
  </conditionalFormatting>
  <dataValidations count="15">
    <dataValidation type="list" allowBlank="1" showInputMessage="1" showErrorMessage="1" sqref="E12">
      <formula1>$I$11:$I$19</formula1>
    </dataValidation>
    <dataValidation type="list" allowBlank="1" showInputMessage="1" showErrorMessage="1" sqref="E21">
      <formula1>"2,2.5,3,3.5,4,4.5,5,5.5,6"</formula1>
    </dataValidation>
    <dataValidation type="list" allowBlank="1" showInputMessage="1" showErrorMessage="1" sqref="E22">
      <formula1>$G$22:$G$32</formula1>
    </dataValidation>
    <dataValidation type="list" allowBlank="1" showInputMessage="1" showErrorMessage="1" sqref="E24">
      <formula1>"10,15,20,25,30,35,40,45,50"</formula1>
    </dataValidation>
    <dataValidation type="list" allowBlank="1" showInputMessage="1" showErrorMessage="1" sqref="E31">
      <formula1>"40,200,160"</formula1>
    </dataValidation>
    <dataValidation type="decimal" operator="greaterThan" allowBlank="1" showInputMessage="1" showErrorMessage="1" sqref="E42 E10 E46 E47 E49 E51">
      <formula1>0</formula1>
    </dataValidation>
    <dataValidation type="list" allowBlank="1" showInputMessage="1" showErrorMessage="1" sqref="E30">
      <formula1>"1.0,1.25,1.5,2.0,2.5,3.0"</formula1>
    </dataValidation>
    <dataValidation type="whole" operator="greaterThan" allowBlank="1" showInputMessage="1" showErrorMessage="1" sqref="E43 E6 E7 E26 E44 E45">
      <formula1>0</formula1>
    </dataValidation>
    <dataValidation type="decimal" operator="greaterThanOrEqual" allowBlank="1" showInputMessage="1" showErrorMessage="1" sqref="E8 E11 E13">
      <formula1>D8</formula1>
    </dataValidation>
    <dataValidation type="list" allowBlank="1" showInputMessage="1" showErrorMessage="1" sqref="E5">
      <formula1>"Residential, Commercial"</formula1>
    </dataValidation>
    <dataValidation type="decimal" operator="greaterThanOrEqual" allowBlank="1" showInputMessage="1" showErrorMessage="1" sqref="E48 E50">
      <formula1>0</formula1>
    </dataValidation>
    <dataValidation type="whole" operator="greaterThanOrEqual" allowBlank="1" showInputMessage="1" showErrorMessage="1" sqref="E17 E19">
      <formula1>D17</formula1>
    </dataValidation>
    <dataValidation type="decimal" operator="lessThanOrEqual" allowBlank="1" showInputMessage="1" showErrorMessage="1" sqref="E18">
      <formula1>100</formula1>
    </dataValidation>
    <dataValidation type="decimal" allowBlank="1" showInputMessage="1" showErrorMessage="1" sqref="E38">
      <formula1>D38</formula1>
      <formula2>D38+5.1</formula2>
    </dataValidation>
    <dataValidation type="whole" allowBlank="1" showInputMessage="1" showErrorMessage="1" sqref="E14">
      <formula1>G13</formula1>
      <formula2>G14</formula2>
    </dataValidation>
  </dataValidations>
  <pageMargins left="0.5" right="0.25" top="0.5" bottom="0.5" header="0.5" footer="0.5"/>
  <pageSetup scale="7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0" r:id="rId4" name="Button 52">
              <controlPr defaultSize="0" print="0" autoFill="0" autoPict="0" macro="[0]!DefaultReset">
                <anchor moveWithCells="1" sizeWithCells="1">
                  <from>
                    <xdr:col>2</xdr:col>
                    <xdr:colOff>1895475</xdr:colOff>
                    <xdr:row>2</xdr:row>
                    <xdr:rowOff>9525</xdr:rowOff>
                  </from>
                  <to>
                    <xdr:col>5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" name="Button 60">
              <controlPr defaultSize="0" print="0" autoFill="0" autoPict="0" macro="[0]!PrintCalcs">
                <anchor moveWithCells="1" sizeWithCells="1">
                  <from>
                    <xdr:col>1</xdr:col>
                    <xdr:colOff>9525</xdr:colOff>
                    <xdr:row>2</xdr:row>
                    <xdr:rowOff>0</xdr:rowOff>
                  </from>
                  <to>
                    <xdr:col>1</xdr:col>
                    <xdr:colOff>1181100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" name="Button 61">
              <controlPr defaultSize="0" print="0" autoFill="0" autoPict="0" macro="[0]!PrintInstructions">
                <anchor moveWithCells="1" sizeWithCells="1">
                  <from>
                    <xdr:col>1</xdr:col>
                    <xdr:colOff>1352550</xdr:colOff>
                    <xdr:row>2</xdr:row>
                    <xdr:rowOff>0</xdr:rowOff>
                  </from>
                  <to>
                    <xdr:col>1</xdr:col>
                    <xdr:colOff>2771775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7" name="Button 62">
              <controlPr defaultSize="0" print="0" autoFill="0" autoPict="0" macro="[0]!PrintTables">
                <anchor moveWithCells="1" sizeWithCells="1">
                  <from>
                    <xdr:col>1</xdr:col>
                    <xdr:colOff>2952750</xdr:colOff>
                    <xdr:row>2</xdr:row>
                    <xdr:rowOff>0</xdr:rowOff>
                  </from>
                  <to>
                    <xdr:col>2</xdr:col>
                    <xdr:colOff>295275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D102"/>
  <sheetViews>
    <sheetView zoomScaleNormal="75" workbookViewId="0"/>
  </sheetViews>
  <sheetFormatPr defaultRowHeight="12.75" x14ac:dyDescent="0.2"/>
  <cols>
    <col min="1" max="1" width="5.140625" customWidth="1"/>
    <col min="2" max="2" width="42.85546875" customWidth="1"/>
    <col min="3" max="3" width="86.5703125" customWidth="1"/>
    <col min="4" max="4" width="11.140625" bestFit="1" customWidth="1"/>
  </cols>
  <sheetData>
    <row r="1" spans="1:3" ht="20.25" x14ac:dyDescent="0.3">
      <c r="B1" s="267" t="s">
        <v>71</v>
      </c>
      <c r="C1" s="268"/>
    </row>
    <row r="2" spans="1:3" ht="15.75" x14ac:dyDescent="0.25">
      <c r="B2" s="189"/>
      <c r="C2" s="189"/>
    </row>
    <row r="3" spans="1:3" ht="15.75" x14ac:dyDescent="0.25">
      <c r="A3" s="132"/>
      <c r="B3" s="269" t="s">
        <v>199</v>
      </c>
      <c r="C3" s="270"/>
    </row>
    <row r="4" spans="1:3" ht="15.75" x14ac:dyDescent="0.25">
      <c r="A4" s="132"/>
      <c r="B4" s="269" t="s">
        <v>195</v>
      </c>
      <c r="C4" s="271"/>
    </row>
    <row r="5" spans="1:3" ht="15.75" x14ac:dyDescent="0.25">
      <c r="A5" s="132"/>
      <c r="B5" s="269" t="s">
        <v>197</v>
      </c>
      <c r="C5" s="270"/>
    </row>
    <row r="6" spans="1:3" ht="15.75" x14ac:dyDescent="0.25">
      <c r="A6" s="132"/>
      <c r="B6" s="272" t="s">
        <v>194</v>
      </c>
      <c r="C6" s="270"/>
    </row>
    <row r="7" spans="1:3" ht="15.75" x14ac:dyDescent="0.25">
      <c r="A7" s="216" t="s">
        <v>217</v>
      </c>
      <c r="B7" s="217"/>
      <c r="C7" s="189"/>
    </row>
    <row r="8" spans="1:3" ht="15.75" x14ac:dyDescent="0.25">
      <c r="A8" s="218" t="s">
        <v>148</v>
      </c>
      <c r="B8" s="217" t="s">
        <v>221</v>
      </c>
      <c r="C8" s="189"/>
    </row>
    <row r="9" spans="1:3" ht="15.75" x14ac:dyDescent="0.25">
      <c r="A9" s="218" t="s">
        <v>149</v>
      </c>
      <c r="B9" s="219" t="s">
        <v>210</v>
      </c>
      <c r="C9" s="189"/>
    </row>
    <row r="10" spans="1:3" ht="21" customHeight="1" x14ac:dyDescent="0.25">
      <c r="A10" s="216" t="s">
        <v>218</v>
      </c>
      <c r="B10" s="219"/>
      <c r="C10" s="189"/>
    </row>
    <row r="11" spans="1:3" ht="15.75" x14ac:dyDescent="0.25">
      <c r="A11" s="218" t="s">
        <v>148</v>
      </c>
      <c r="B11" s="219" t="s">
        <v>196</v>
      </c>
      <c r="C11" s="189"/>
    </row>
    <row r="12" spans="1:3" ht="15.75" x14ac:dyDescent="0.25">
      <c r="A12" s="218" t="s">
        <v>149</v>
      </c>
      <c r="B12" s="216" t="s">
        <v>222</v>
      </c>
      <c r="C12" s="189"/>
    </row>
    <row r="13" spans="1:3" ht="15.75" x14ac:dyDescent="0.25">
      <c r="A13" s="218" t="s">
        <v>151</v>
      </c>
      <c r="B13" s="219" t="s">
        <v>198</v>
      </c>
      <c r="C13" s="189"/>
    </row>
    <row r="14" spans="1:3" ht="15.75" x14ac:dyDescent="0.25">
      <c r="A14" s="218" t="s">
        <v>47</v>
      </c>
      <c r="B14" s="216" t="s">
        <v>243</v>
      </c>
      <c r="C14" s="189"/>
    </row>
    <row r="15" spans="1:3" ht="15.75" x14ac:dyDescent="0.25">
      <c r="A15" s="220"/>
      <c r="B15" s="219" t="s">
        <v>211</v>
      </c>
      <c r="C15" s="189"/>
    </row>
    <row r="16" spans="1:3" ht="15.75" x14ac:dyDescent="0.25">
      <c r="A16" s="218" t="s">
        <v>152</v>
      </c>
      <c r="B16" s="217" t="s">
        <v>244</v>
      </c>
      <c r="C16" s="189"/>
    </row>
    <row r="17" spans="1:3" ht="15.75" x14ac:dyDescent="0.25">
      <c r="A17" s="218" t="s">
        <v>153</v>
      </c>
      <c r="B17" s="219" t="s">
        <v>245</v>
      </c>
      <c r="C17" s="189"/>
    </row>
    <row r="18" spans="1:3" ht="14.25" x14ac:dyDescent="0.2">
      <c r="A18" s="218" t="s">
        <v>162</v>
      </c>
      <c r="B18" s="217" t="s">
        <v>202</v>
      </c>
    </row>
    <row r="19" spans="1:3" ht="18.75" customHeight="1" x14ac:dyDescent="0.2">
      <c r="A19" s="185"/>
      <c r="B19" s="3" t="s">
        <v>23</v>
      </c>
      <c r="C19" s="184" t="s">
        <v>33</v>
      </c>
    </row>
    <row r="20" spans="1:3" ht="16.5" customHeight="1" x14ac:dyDescent="0.2">
      <c r="A20" s="221">
        <v>1</v>
      </c>
      <c r="B20" s="221" t="s">
        <v>200</v>
      </c>
      <c r="C20" s="222" t="s">
        <v>234</v>
      </c>
    </row>
    <row r="21" spans="1:3" ht="16.5" customHeight="1" x14ac:dyDescent="0.2">
      <c r="A21" s="221">
        <v>2</v>
      </c>
      <c r="B21" s="221" t="s">
        <v>201</v>
      </c>
      <c r="C21" s="222" t="s">
        <v>234</v>
      </c>
    </row>
    <row r="22" spans="1:3" ht="16.5" customHeight="1" x14ac:dyDescent="0.2">
      <c r="A22" s="221">
        <v>3</v>
      </c>
      <c r="B22" s="221" t="s">
        <v>1</v>
      </c>
      <c r="C22" s="222" t="s">
        <v>74</v>
      </c>
    </row>
    <row r="23" spans="1:3" ht="29.25" customHeight="1" x14ac:dyDescent="0.2">
      <c r="A23" s="221">
        <v>4</v>
      </c>
      <c r="B23" s="221" t="s">
        <v>11</v>
      </c>
      <c r="C23" s="222" t="s">
        <v>75</v>
      </c>
    </row>
    <row r="24" spans="1:3" ht="30" customHeight="1" x14ac:dyDescent="0.2">
      <c r="A24" s="221">
        <v>5</v>
      </c>
      <c r="B24" s="221" t="s">
        <v>3</v>
      </c>
      <c r="C24" s="222" t="s">
        <v>240</v>
      </c>
    </row>
    <row r="25" spans="1:3" ht="16.5" customHeight="1" x14ac:dyDescent="0.2">
      <c r="A25" s="221">
        <v>6</v>
      </c>
      <c r="B25" s="221" t="s">
        <v>5</v>
      </c>
      <c r="C25" s="222" t="s">
        <v>78</v>
      </c>
    </row>
    <row r="26" spans="1:3" ht="16.5" customHeight="1" x14ac:dyDescent="0.2">
      <c r="A26" s="221">
        <v>7</v>
      </c>
      <c r="B26" s="221" t="s">
        <v>4</v>
      </c>
      <c r="C26" s="222" t="s">
        <v>76</v>
      </c>
    </row>
    <row r="27" spans="1:3" ht="16.5" customHeight="1" x14ac:dyDescent="0.2">
      <c r="A27" s="221">
        <v>8</v>
      </c>
      <c r="B27" s="221" t="s">
        <v>7</v>
      </c>
      <c r="C27" s="222" t="s">
        <v>77</v>
      </c>
    </row>
    <row r="28" spans="1:3" ht="30" customHeight="1" x14ac:dyDescent="0.2">
      <c r="A28" s="221">
        <v>9</v>
      </c>
      <c r="B28" s="221" t="s">
        <v>9</v>
      </c>
      <c r="C28" s="222" t="s">
        <v>226</v>
      </c>
    </row>
    <row r="29" spans="1:3" ht="17.25" customHeight="1" x14ac:dyDescent="0.2">
      <c r="A29" s="221">
        <v>10</v>
      </c>
      <c r="B29" s="221" t="s">
        <v>18</v>
      </c>
      <c r="C29" s="222" t="s">
        <v>80</v>
      </c>
    </row>
    <row r="30" spans="1:3" ht="16.5" customHeight="1" x14ac:dyDescent="0.2">
      <c r="A30" s="221">
        <v>11</v>
      </c>
      <c r="B30" s="221" t="s">
        <v>10</v>
      </c>
      <c r="C30" s="222" t="s">
        <v>82</v>
      </c>
    </row>
    <row r="31" spans="1:3" ht="30" customHeight="1" x14ac:dyDescent="0.2">
      <c r="A31" s="221">
        <v>12</v>
      </c>
      <c r="B31" s="221" t="s">
        <v>13</v>
      </c>
      <c r="C31" s="222" t="s">
        <v>241</v>
      </c>
    </row>
    <row r="32" spans="1:3" ht="16.5" customHeight="1" x14ac:dyDescent="0.2">
      <c r="A32" s="221">
        <v>13</v>
      </c>
      <c r="B32" s="221" t="s">
        <v>32</v>
      </c>
      <c r="C32" s="222" t="s">
        <v>83</v>
      </c>
    </row>
    <row r="33" spans="1:4" ht="29.25" customHeight="1" x14ac:dyDescent="0.2">
      <c r="A33" s="221">
        <v>14</v>
      </c>
      <c r="B33" s="221" t="s">
        <v>19</v>
      </c>
      <c r="C33" s="222" t="s">
        <v>160</v>
      </c>
      <c r="D33" s="129"/>
    </row>
    <row r="34" spans="1:4" ht="16.5" customHeight="1" x14ac:dyDescent="0.2">
      <c r="A34" s="5"/>
      <c r="B34" s="3" t="s">
        <v>14</v>
      </c>
      <c r="C34" s="4"/>
    </row>
    <row r="35" spans="1:4" ht="30" customHeight="1" x14ac:dyDescent="0.2">
      <c r="A35" s="221">
        <v>15</v>
      </c>
      <c r="B35" s="221" t="s">
        <v>15</v>
      </c>
      <c r="C35" s="222" t="s">
        <v>251</v>
      </c>
    </row>
    <row r="36" spans="1:4" ht="16.5" customHeight="1" x14ac:dyDescent="0.2">
      <c r="A36" s="221">
        <v>16</v>
      </c>
      <c r="B36" s="221" t="s">
        <v>34</v>
      </c>
      <c r="C36" s="222" t="s">
        <v>216</v>
      </c>
    </row>
    <row r="37" spans="1:4" ht="16.5" customHeight="1" x14ac:dyDescent="0.2">
      <c r="A37" s="221">
        <v>17</v>
      </c>
      <c r="B37" s="221" t="s">
        <v>139</v>
      </c>
      <c r="C37" s="222" t="s">
        <v>246</v>
      </c>
    </row>
    <row r="38" spans="1:4" ht="45" customHeight="1" x14ac:dyDescent="0.2">
      <c r="A38" s="221">
        <v>18</v>
      </c>
      <c r="B38" s="221" t="s">
        <v>49</v>
      </c>
      <c r="C38" s="222" t="s">
        <v>228</v>
      </c>
    </row>
    <row r="39" spans="1:4" ht="16.5" customHeight="1" x14ac:dyDescent="0.2">
      <c r="A39" s="221">
        <v>19</v>
      </c>
      <c r="B39" s="221" t="s">
        <v>50</v>
      </c>
      <c r="C39" s="222" t="s">
        <v>84</v>
      </c>
    </row>
    <row r="40" spans="1:4" ht="15.75" customHeight="1" x14ac:dyDescent="0.2">
      <c r="A40" s="221">
        <v>20</v>
      </c>
      <c r="B40" s="221" t="s">
        <v>48</v>
      </c>
      <c r="C40" s="222" t="s">
        <v>212</v>
      </c>
    </row>
    <row r="41" spans="1:4" ht="16.5" customHeight="1" x14ac:dyDescent="0.2">
      <c r="A41" s="221">
        <v>21</v>
      </c>
      <c r="B41" s="221" t="s">
        <v>56</v>
      </c>
      <c r="C41" s="222"/>
    </row>
    <row r="42" spans="1:4" ht="16.5" customHeight="1" x14ac:dyDescent="0.2">
      <c r="A42" s="221">
        <v>22</v>
      </c>
      <c r="B42" s="221" t="s">
        <v>208</v>
      </c>
      <c r="C42" s="222"/>
    </row>
    <row r="43" spans="1:4" ht="29.25" customHeight="1" x14ac:dyDescent="0.2">
      <c r="A43" s="221">
        <v>23</v>
      </c>
      <c r="B43" s="221" t="s">
        <v>209</v>
      </c>
      <c r="C43" s="222" t="s">
        <v>161</v>
      </c>
    </row>
    <row r="44" spans="1:4" ht="15.75" customHeight="1" x14ac:dyDescent="0.2">
      <c r="A44" s="221">
        <v>24</v>
      </c>
      <c r="B44" s="223" t="s">
        <v>26</v>
      </c>
      <c r="C44" s="222" t="s">
        <v>213</v>
      </c>
    </row>
    <row r="45" spans="1:4" ht="15.75" customHeight="1" x14ac:dyDescent="0.2">
      <c r="A45" s="221">
        <v>25</v>
      </c>
      <c r="B45" s="223" t="s">
        <v>143</v>
      </c>
      <c r="C45" s="224" t="s">
        <v>225</v>
      </c>
    </row>
    <row r="46" spans="1:4" ht="15.75" customHeight="1" x14ac:dyDescent="0.2">
      <c r="A46" s="221">
        <v>26</v>
      </c>
      <c r="B46" s="223" t="s">
        <v>154</v>
      </c>
      <c r="C46" s="224" t="s">
        <v>236</v>
      </c>
    </row>
    <row r="47" spans="1:4" ht="16.5" customHeight="1" x14ac:dyDescent="0.2">
      <c r="A47" s="221">
        <v>27</v>
      </c>
      <c r="B47" s="221" t="s">
        <v>53</v>
      </c>
      <c r="C47" s="222" t="s">
        <v>248</v>
      </c>
    </row>
    <row r="48" spans="1:4" ht="16.5" customHeight="1" x14ac:dyDescent="0.2">
      <c r="A48" s="221">
        <v>28</v>
      </c>
      <c r="B48" s="221" t="s">
        <v>54</v>
      </c>
      <c r="C48" s="222" t="s">
        <v>247</v>
      </c>
    </row>
    <row r="49" spans="1:3" ht="16.5" customHeight="1" x14ac:dyDescent="0.2">
      <c r="A49" s="7"/>
      <c r="B49" s="3" t="s">
        <v>64</v>
      </c>
      <c r="C49" s="222" t="s">
        <v>249</v>
      </c>
    </row>
    <row r="50" spans="1:3" ht="16.5" customHeight="1" x14ac:dyDescent="0.2">
      <c r="A50" s="221">
        <v>29</v>
      </c>
      <c r="B50" s="221" t="s">
        <v>44</v>
      </c>
      <c r="C50" s="222" t="s">
        <v>87</v>
      </c>
    </row>
    <row r="51" spans="1:3" ht="16.5" customHeight="1" x14ac:dyDescent="0.2">
      <c r="A51" s="221">
        <v>30</v>
      </c>
      <c r="B51" s="221" t="s">
        <v>42</v>
      </c>
      <c r="C51" s="222" t="s">
        <v>89</v>
      </c>
    </row>
    <row r="52" spans="1:3" ht="30" customHeight="1" x14ac:dyDescent="0.2">
      <c r="A52" s="221">
        <v>31</v>
      </c>
      <c r="B52" s="221" t="s">
        <v>65</v>
      </c>
      <c r="C52" s="222" t="s">
        <v>150</v>
      </c>
    </row>
    <row r="53" spans="1:3" ht="16.5" customHeight="1" x14ac:dyDescent="0.2">
      <c r="A53" s="221">
        <v>32</v>
      </c>
      <c r="B53" s="221" t="s">
        <v>88</v>
      </c>
      <c r="C53" s="222"/>
    </row>
    <row r="54" spans="1:3" ht="16.5" customHeight="1" x14ac:dyDescent="0.2">
      <c r="A54" s="221">
        <v>33</v>
      </c>
      <c r="B54" s="221" t="s">
        <v>43</v>
      </c>
      <c r="C54" s="222" t="s">
        <v>90</v>
      </c>
    </row>
    <row r="55" spans="1:3" ht="16.5" customHeight="1" x14ac:dyDescent="0.2">
      <c r="A55" s="5"/>
      <c r="B55" s="237" t="s">
        <v>22</v>
      </c>
      <c r="C55" s="4"/>
    </row>
    <row r="56" spans="1:3" ht="30" customHeight="1" x14ac:dyDescent="0.2">
      <c r="A56" s="221">
        <v>34</v>
      </c>
      <c r="B56" s="225" t="s">
        <v>24</v>
      </c>
      <c r="C56" s="222" t="s">
        <v>86</v>
      </c>
    </row>
    <row r="57" spans="1:3" ht="17.25" customHeight="1" x14ac:dyDescent="0.2">
      <c r="A57" s="221">
        <v>35</v>
      </c>
      <c r="B57" s="226" t="s">
        <v>25</v>
      </c>
      <c r="C57" s="222" t="s">
        <v>137</v>
      </c>
    </row>
    <row r="58" spans="1:3" ht="45" customHeight="1" x14ac:dyDescent="0.2">
      <c r="A58" s="221">
        <v>36</v>
      </c>
      <c r="B58" s="229" t="s">
        <v>238</v>
      </c>
      <c r="C58" s="222" t="s">
        <v>253</v>
      </c>
    </row>
    <row r="59" spans="1:3" ht="16.5" customHeight="1" x14ac:dyDescent="0.2">
      <c r="A59" s="221">
        <v>37</v>
      </c>
      <c r="B59" s="226" t="s">
        <v>27</v>
      </c>
      <c r="C59" s="222" t="s">
        <v>91</v>
      </c>
    </row>
    <row r="60" spans="1:3" ht="16.5" customHeight="1" x14ac:dyDescent="0.2">
      <c r="A60" s="221">
        <v>38</v>
      </c>
      <c r="B60" s="226" t="s">
        <v>136</v>
      </c>
      <c r="C60" s="222"/>
    </row>
    <row r="61" spans="1:3" ht="16.5" customHeight="1" x14ac:dyDescent="0.2">
      <c r="A61" s="221">
        <v>39</v>
      </c>
      <c r="B61" s="227" t="s">
        <v>29</v>
      </c>
      <c r="C61" s="222"/>
    </row>
    <row r="62" spans="1:3" ht="15.75" customHeight="1" x14ac:dyDescent="0.2">
      <c r="A62" s="221">
        <v>40</v>
      </c>
      <c r="B62" s="227" t="s">
        <v>138</v>
      </c>
      <c r="C62" s="222" t="s">
        <v>214</v>
      </c>
    </row>
    <row r="63" spans="1:3" ht="16.5" customHeight="1" x14ac:dyDescent="0.2">
      <c r="A63" s="221">
        <v>41</v>
      </c>
      <c r="B63" s="225" t="s">
        <v>28</v>
      </c>
      <c r="C63" s="222" t="s">
        <v>250</v>
      </c>
    </row>
    <row r="64" spans="1:3" ht="16.5" customHeight="1" x14ac:dyDescent="0.2">
      <c r="A64" s="221">
        <v>42</v>
      </c>
      <c r="B64" s="225" t="s">
        <v>15</v>
      </c>
      <c r="C64" s="222"/>
    </row>
    <row r="65" spans="1:3" ht="16.5" customHeight="1" x14ac:dyDescent="0.2">
      <c r="A65" s="221">
        <v>43</v>
      </c>
      <c r="B65" s="225" t="s">
        <v>31</v>
      </c>
      <c r="C65" s="222" t="s">
        <v>252</v>
      </c>
    </row>
    <row r="66" spans="1:3" ht="16.5" customHeight="1" x14ac:dyDescent="0.2">
      <c r="A66" s="7"/>
      <c r="B66" s="3" t="s">
        <v>45</v>
      </c>
      <c r="C66" s="4"/>
    </row>
    <row r="67" spans="1:3" ht="16.5" customHeight="1" x14ac:dyDescent="0.2">
      <c r="A67" s="221">
        <v>44</v>
      </c>
      <c r="B67" s="228" t="s">
        <v>70</v>
      </c>
      <c r="C67" s="222" t="s">
        <v>92</v>
      </c>
    </row>
    <row r="68" spans="1:3" ht="30" customHeight="1" x14ac:dyDescent="0.2">
      <c r="A68" s="221">
        <v>45</v>
      </c>
      <c r="B68" s="228" t="s">
        <v>140</v>
      </c>
      <c r="C68" s="222" t="s">
        <v>141</v>
      </c>
    </row>
    <row r="69" spans="1:3" ht="12.75" customHeight="1" x14ac:dyDescent="0.2">
      <c r="A69" s="230"/>
      <c r="B69" s="231"/>
      <c r="C69" s="232"/>
    </row>
    <row r="70" spans="1:3" ht="12.75" customHeight="1" x14ac:dyDescent="0.2">
      <c r="A70" s="230"/>
      <c r="B70" s="231"/>
      <c r="C70" s="232"/>
    </row>
    <row r="71" spans="1:3" ht="12.75" customHeight="1" x14ac:dyDescent="0.2">
      <c r="A71" s="230"/>
      <c r="B71" s="231"/>
      <c r="C71" s="232"/>
    </row>
    <row r="72" spans="1:3" ht="15.75" customHeight="1" x14ac:dyDescent="0.25">
      <c r="A72" s="216" t="s">
        <v>215</v>
      </c>
      <c r="B72" s="231"/>
      <c r="C72" s="232"/>
    </row>
    <row r="89" spans="1:3" ht="18" x14ac:dyDescent="0.25">
      <c r="A89" s="106" t="s">
        <v>166</v>
      </c>
    </row>
    <row r="90" spans="1:3" ht="18" x14ac:dyDescent="0.25">
      <c r="A90" s="106" t="s">
        <v>167</v>
      </c>
    </row>
    <row r="91" spans="1:3" ht="18" x14ac:dyDescent="0.25">
      <c r="A91" s="106" t="s">
        <v>168</v>
      </c>
    </row>
    <row r="92" spans="1:3" ht="18" x14ac:dyDescent="0.25">
      <c r="A92" s="106" t="s">
        <v>163</v>
      </c>
      <c r="C92" s="106"/>
    </row>
    <row r="93" spans="1:3" ht="18" x14ac:dyDescent="0.25">
      <c r="A93" s="106" t="s">
        <v>203</v>
      </c>
    </row>
    <row r="94" spans="1:3" ht="18" x14ac:dyDescent="0.25">
      <c r="A94" s="106" t="s">
        <v>165</v>
      </c>
    </row>
    <row r="95" spans="1:3" ht="18" x14ac:dyDescent="0.25">
      <c r="A95" s="106" t="s">
        <v>164</v>
      </c>
    </row>
    <row r="97" spans="1:2" ht="15" x14ac:dyDescent="0.2">
      <c r="A97" s="183" t="s">
        <v>204</v>
      </c>
      <c r="B97" s="183"/>
    </row>
    <row r="98" spans="1:2" ht="15" x14ac:dyDescent="0.2">
      <c r="A98" s="183" t="s">
        <v>205</v>
      </c>
      <c r="B98" s="183"/>
    </row>
    <row r="100" spans="1:2" ht="15" x14ac:dyDescent="0.2">
      <c r="A100" s="183" t="s">
        <v>206</v>
      </c>
      <c r="B100" s="183"/>
    </row>
    <row r="101" spans="1:2" ht="15" x14ac:dyDescent="0.2">
      <c r="A101" s="183" t="s">
        <v>207</v>
      </c>
      <c r="B101" s="183"/>
    </row>
    <row r="102" spans="1:2" ht="15" x14ac:dyDescent="0.2">
      <c r="A102" s="183"/>
      <c r="B102" s="183"/>
    </row>
  </sheetData>
  <sheetProtection password="80D2" sheet="1" objects="1" scenarios="1"/>
  <mergeCells count="5">
    <mergeCell ref="B1:C1"/>
    <mergeCell ref="B3:C3"/>
    <mergeCell ref="B4:C4"/>
    <mergeCell ref="B6:C6"/>
    <mergeCell ref="B5:C5"/>
  </mergeCells>
  <phoneticPr fontId="0" type="noConversion"/>
  <pageMargins left="0.5" right="0.5" top="0.5" bottom="0.5" header="0.5" footer="0.5"/>
  <pageSetup scale="7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29"/>
  <sheetViews>
    <sheetView zoomScaleNormal="100" workbookViewId="0"/>
  </sheetViews>
  <sheetFormatPr defaultRowHeight="12.75" x14ac:dyDescent="0.2"/>
  <sheetData>
    <row r="1" spans="1:17" ht="20.25" x14ac:dyDescent="0.3">
      <c r="C1" s="280" t="s">
        <v>169</v>
      </c>
      <c r="D1" s="281"/>
      <c r="E1" s="264"/>
      <c r="F1" s="264"/>
      <c r="G1" s="264"/>
      <c r="H1" s="264"/>
      <c r="I1" s="264"/>
      <c r="J1" s="130"/>
    </row>
    <row r="3" spans="1:17" x14ac:dyDescent="0.2">
      <c r="B3" t="s">
        <v>135</v>
      </c>
    </row>
    <row r="4" spans="1:17" ht="18" x14ac:dyDescent="0.25">
      <c r="B4" s="9"/>
      <c r="D4" s="106" t="s">
        <v>116</v>
      </c>
      <c r="E4" s="105"/>
      <c r="F4" s="105"/>
      <c r="G4" s="119"/>
      <c r="H4" s="117"/>
      <c r="I4" s="117"/>
      <c r="J4" s="117"/>
      <c r="K4" s="117"/>
      <c r="L4" s="117"/>
      <c r="M4" s="117"/>
    </row>
    <row r="5" spans="1:17" ht="13.5" thickBot="1" x14ac:dyDescent="0.25">
      <c r="B5" s="9"/>
      <c r="E5" t="s">
        <v>115</v>
      </c>
      <c r="G5" s="118"/>
      <c r="H5" s="117"/>
      <c r="I5" s="117"/>
      <c r="J5" s="117"/>
      <c r="K5" s="117"/>
      <c r="L5" s="117"/>
      <c r="M5" s="117"/>
    </row>
    <row r="6" spans="1:17" x14ac:dyDescent="0.2">
      <c r="A6" s="27"/>
      <c r="B6" s="104"/>
      <c r="C6" s="295">
        <v>0.5</v>
      </c>
      <c r="D6" s="296"/>
      <c r="E6" s="297"/>
      <c r="F6" s="295">
        <v>0.75</v>
      </c>
      <c r="G6" s="293"/>
      <c r="H6" s="298"/>
      <c r="I6" s="292">
        <v>1</v>
      </c>
      <c r="J6" s="293"/>
      <c r="K6" s="294"/>
      <c r="L6" s="295">
        <v>1.25</v>
      </c>
      <c r="M6" s="296"/>
      <c r="N6" s="298"/>
      <c r="O6" s="292">
        <v>1.5</v>
      </c>
      <c r="P6" s="293"/>
      <c r="Q6" s="298"/>
    </row>
    <row r="7" spans="1:17" x14ac:dyDescent="0.2">
      <c r="A7" s="278" t="s">
        <v>114</v>
      </c>
      <c r="B7" s="279"/>
      <c r="C7" s="273" t="s">
        <v>113</v>
      </c>
      <c r="D7" s="274"/>
      <c r="E7" s="103" t="s">
        <v>112</v>
      </c>
      <c r="F7" s="273" t="s">
        <v>113</v>
      </c>
      <c r="G7" s="274"/>
      <c r="H7" s="102" t="s">
        <v>112</v>
      </c>
      <c r="I7" s="299" t="s">
        <v>113</v>
      </c>
      <c r="J7" s="274"/>
      <c r="K7" s="103" t="s">
        <v>112</v>
      </c>
      <c r="L7" s="273" t="s">
        <v>113</v>
      </c>
      <c r="M7" s="274"/>
      <c r="N7" s="102" t="s">
        <v>112</v>
      </c>
      <c r="O7" s="299" t="s">
        <v>113</v>
      </c>
      <c r="P7" s="274"/>
      <c r="Q7" s="102" t="s">
        <v>112</v>
      </c>
    </row>
    <row r="8" spans="1:17" ht="13.5" thickBot="1" x14ac:dyDescent="0.25">
      <c r="A8" s="116" t="s">
        <v>111</v>
      </c>
      <c r="B8" s="98" t="s">
        <v>17</v>
      </c>
      <c r="C8" s="100" t="s">
        <v>16</v>
      </c>
      <c r="D8" s="99" t="s">
        <v>110</v>
      </c>
      <c r="E8" s="101" t="s">
        <v>109</v>
      </c>
      <c r="F8" s="100" t="s">
        <v>16</v>
      </c>
      <c r="G8" s="99" t="s">
        <v>110</v>
      </c>
      <c r="H8" s="101" t="s">
        <v>109</v>
      </c>
      <c r="I8" s="100" t="s">
        <v>16</v>
      </c>
      <c r="J8" s="99" t="s">
        <v>110</v>
      </c>
      <c r="K8" s="101" t="s">
        <v>109</v>
      </c>
      <c r="L8" s="100" t="s">
        <v>16</v>
      </c>
      <c r="M8" s="99" t="s">
        <v>110</v>
      </c>
      <c r="N8" s="101" t="s">
        <v>109</v>
      </c>
      <c r="O8" s="100" t="s">
        <v>16</v>
      </c>
      <c r="P8" s="99" t="s">
        <v>110</v>
      </c>
      <c r="Q8" s="98" t="s">
        <v>109</v>
      </c>
    </row>
    <row r="9" spans="1:17" x14ac:dyDescent="0.2">
      <c r="A9" s="96">
        <f t="shared" ref="A9:A33" si="0">B9*60</f>
        <v>60</v>
      </c>
      <c r="B9" s="71">
        <v>1</v>
      </c>
      <c r="C9" s="91">
        <f t="shared" ref="C9:C15" si="1">10.44*($B9/150)^1.852*$C$102^(-4.871)*100</f>
        <v>0.98407120274532789</v>
      </c>
      <c r="D9" s="90">
        <f>C9/2.31</f>
        <v>0.4260048496733021</v>
      </c>
      <c r="E9" s="89">
        <f t="shared" ref="E9:E15" si="2">$B9/7.48/60/(3.14168*($C$102/12/2)^2)</f>
        <v>1.0559100379127009</v>
      </c>
      <c r="F9" s="91">
        <f t="shared" ref="F9:F17" si="3">10.44*($B9/150)^1.852*$D$102^(-4.871)*100</f>
        <v>0.25009098596016444</v>
      </c>
      <c r="G9" s="90">
        <f t="shared" ref="G9:G17" si="4">F9/2.31</f>
        <v>0.10826449608665127</v>
      </c>
      <c r="H9" s="89">
        <f t="shared" ref="H9:H17" si="5">$B9/7.48/60/(3.14168*($D$102/12/2)^2)</f>
        <v>0.60166294406255516</v>
      </c>
      <c r="I9" s="91">
        <f t="shared" ref="I9:I19" si="6">10.44*($B9/150)^1.852*$E$102^(-4.871)*100</f>
        <v>7.7158199349244616E-2</v>
      </c>
      <c r="J9" s="90">
        <f t="shared" ref="J9:J19" si="7">I9/2.31</f>
        <v>3.3401817900105893E-2</v>
      </c>
      <c r="K9" s="89">
        <f t="shared" ref="K9:K19" si="8">$B9/7.48/60/(3.14168*($E$102/12/2)^2)</f>
        <v>0.37124166472751075</v>
      </c>
      <c r="L9" s="91"/>
      <c r="M9" s="90"/>
      <c r="N9" s="89"/>
      <c r="O9" s="91"/>
      <c r="P9" s="90"/>
      <c r="Q9" s="89"/>
    </row>
    <row r="10" spans="1:17" x14ac:dyDescent="0.2">
      <c r="A10" s="72">
        <f t="shared" si="0"/>
        <v>120</v>
      </c>
      <c r="B10" s="71">
        <v>2</v>
      </c>
      <c r="C10" s="66">
        <f t="shared" si="1"/>
        <v>3.5524999054099458</v>
      </c>
      <c r="D10" s="65">
        <v>1.55</v>
      </c>
      <c r="E10" s="64">
        <f t="shared" si="2"/>
        <v>2.1118200758254018</v>
      </c>
      <c r="F10" s="66">
        <f t="shared" si="3"/>
        <v>0.90282918704337889</v>
      </c>
      <c r="G10" s="65">
        <f t="shared" si="4"/>
        <v>0.39083514590622465</v>
      </c>
      <c r="H10" s="64">
        <f t="shared" si="5"/>
        <v>1.2033258881251103</v>
      </c>
      <c r="I10" s="66">
        <f t="shared" si="6"/>
        <v>0.2785413241695377</v>
      </c>
      <c r="J10" s="65">
        <f t="shared" si="7"/>
        <v>0.12058065981365268</v>
      </c>
      <c r="K10" s="64">
        <f t="shared" si="8"/>
        <v>0.74248332945502149</v>
      </c>
      <c r="L10" s="66">
        <f t="shared" ref="L10:L23" si="9">10.44*($B10/150)^1.852*$F$102^(-4.871)*100</f>
        <v>7.3237921250994126E-2</v>
      </c>
      <c r="M10" s="65">
        <f t="shared" ref="M10:M23" si="10">L10/2.31</f>
        <v>3.1704727814283171E-2</v>
      </c>
      <c r="N10" s="64">
        <f t="shared" ref="N10:N23" si="11">$B10/7.48/60/(3.14168*($F$102/12/2)^2)</f>
        <v>0.42902194823337275</v>
      </c>
      <c r="O10" s="66"/>
      <c r="P10" s="65"/>
      <c r="Q10" s="64"/>
    </row>
    <row r="11" spans="1:17" ht="13.5" thickBot="1" x14ac:dyDescent="0.25">
      <c r="A11" s="63">
        <f t="shared" si="0"/>
        <v>180</v>
      </c>
      <c r="B11" s="62">
        <v>3</v>
      </c>
      <c r="C11" s="57">
        <f t="shared" si="1"/>
        <v>7.5275749231261511</v>
      </c>
      <c r="D11" s="56">
        <v>3.27</v>
      </c>
      <c r="E11" s="55">
        <f t="shared" si="2"/>
        <v>3.1677301137381031</v>
      </c>
      <c r="F11" s="57">
        <f t="shared" si="3"/>
        <v>1.9130512397493957</v>
      </c>
      <c r="G11" s="56">
        <f t="shared" si="4"/>
        <v>0.82816070984822321</v>
      </c>
      <c r="H11" s="55">
        <f t="shared" si="5"/>
        <v>1.8049888321876657</v>
      </c>
      <c r="I11" s="57">
        <f t="shared" si="6"/>
        <v>0.59021555037339479</v>
      </c>
      <c r="J11" s="56">
        <f t="shared" si="7"/>
        <v>0.25550456726120985</v>
      </c>
      <c r="K11" s="55">
        <f t="shared" si="8"/>
        <v>1.1137249941825322</v>
      </c>
      <c r="L11" s="57">
        <f t="shared" si="9"/>
        <v>0.15518760143844471</v>
      </c>
      <c r="M11" s="56">
        <f t="shared" si="10"/>
        <v>6.7180779843482558E-2</v>
      </c>
      <c r="N11" s="55">
        <f t="shared" si="11"/>
        <v>0.64353292235005921</v>
      </c>
      <c r="O11" s="57">
        <f t="shared" ref="O11:O25" si="12">10.44*($B11/150)^1.852*$G$102^(-4.871)*100</f>
        <v>7.3241833635728379E-2</v>
      </c>
      <c r="P11" s="56">
        <f t="shared" ref="P11:P25" si="13">O11/2.31</f>
        <v>3.1706421487328301E-2</v>
      </c>
      <c r="Q11" s="55">
        <f t="shared" ref="Q11:Q25" si="14">$B11/7.48/60/(3.14168*($G$102/12/2)^2)</f>
        <v>0.47279969805310457</v>
      </c>
    </row>
    <row r="12" spans="1:17" x14ac:dyDescent="0.2">
      <c r="A12" s="96">
        <f t="shared" si="0"/>
        <v>240</v>
      </c>
      <c r="B12" s="95">
        <v>4</v>
      </c>
      <c r="C12" s="91">
        <f t="shared" si="1"/>
        <v>12.824534995770751</v>
      </c>
      <c r="D12" s="90">
        <v>5.57</v>
      </c>
      <c r="E12" s="89">
        <f t="shared" si="2"/>
        <v>4.2236401516508035</v>
      </c>
      <c r="F12" s="91">
        <f t="shared" si="3"/>
        <v>3.2592159923238522</v>
      </c>
      <c r="G12" s="90">
        <f t="shared" si="4"/>
        <v>1.4109160139930095</v>
      </c>
      <c r="H12" s="89">
        <f t="shared" si="5"/>
        <v>2.4066517762502206</v>
      </c>
      <c r="I12" s="91">
        <f t="shared" si="6"/>
        <v>1.0055349907654245</v>
      </c>
      <c r="J12" s="90">
        <f t="shared" si="7"/>
        <v>0.43529653279888508</v>
      </c>
      <c r="K12" s="89">
        <f t="shared" si="8"/>
        <v>1.484966658910043</v>
      </c>
      <c r="L12" s="91">
        <f t="shared" si="9"/>
        <v>0.26438910882743327</v>
      </c>
      <c r="M12" s="90">
        <f t="shared" si="10"/>
        <v>0.11445415966555553</v>
      </c>
      <c r="N12" s="89">
        <f t="shared" si="11"/>
        <v>0.8580438964667455</v>
      </c>
      <c r="O12" s="91">
        <f t="shared" si="12"/>
        <v>0.12478022048377514</v>
      </c>
      <c r="P12" s="90">
        <f t="shared" si="13"/>
        <v>5.4017411464837725E-2</v>
      </c>
      <c r="Q12" s="89">
        <f t="shared" si="14"/>
        <v>0.63039959740413931</v>
      </c>
    </row>
    <row r="13" spans="1:17" x14ac:dyDescent="0.2">
      <c r="A13" s="72">
        <f t="shared" si="0"/>
        <v>300</v>
      </c>
      <c r="B13" s="88">
        <v>5</v>
      </c>
      <c r="C13" s="69">
        <f t="shared" si="1"/>
        <v>19.387373231194903</v>
      </c>
      <c r="D13" s="68">
        <v>8.42</v>
      </c>
      <c r="E13" s="67">
        <f t="shared" si="2"/>
        <v>5.2795501895635057</v>
      </c>
      <c r="F13" s="66">
        <f t="shared" si="3"/>
        <v>4.9270899026826065</v>
      </c>
      <c r="G13" s="65">
        <f t="shared" si="4"/>
        <v>2.1329393518106521</v>
      </c>
      <c r="H13" s="64">
        <f t="shared" si="5"/>
        <v>3.0083147203127765</v>
      </c>
      <c r="I13" s="66">
        <f t="shared" si="6"/>
        <v>1.52010830563637</v>
      </c>
      <c r="J13" s="65">
        <f t="shared" si="7"/>
        <v>0.65805554356552809</v>
      </c>
      <c r="K13" s="64">
        <f t="shared" si="8"/>
        <v>1.8562083236375539</v>
      </c>
      <c r="L13" s="66">
        <f t="shared" si="9"/>
        <v>0.39968781190045766</v>
      </c>
      <c r="M13" s="65">
        <f t="shared" si="10"/>
        <v>0.1730250267967349</v>
      </c>
      <c r="N13" s="64">
        <f t="shared" si="11"/>
        <v>1.072554870583432</v>
      </c>
      <c r="O13" s="66">
        <f t="shared" si="12"/>
        <v>0.18863535459083128</v>
      </c>
      <c r="P13" s="65">
        <f t="shared" si="13"/>
        <v>8.1660326662697527E-2</v>
      </c>
      <c r="Q13" s="64">
        <f t="shared" si="14"/>
        <v>0.78799949675517422</v>
      </c>
    </row>
    <row r="14" spans="1:17" ht="13.5" thickBot="1" x14ac:dyDescent="0.25">
      <c r="A14" s="87">
        <f t="shared" si="0"/>
        <v>360</v>
      </c>
      <c r="B14" s="86">
        <v>6</v>
      </c>
      <c r="C14" s="85">
        <f t="shared" si="1"/>
        <v>27.174567376597196</v>
      </c>
      <c r="D14" s="84">
        <v>11.81</v>
      </c>
      <c r="E14" s="83">
        <f t="shared" si="2"/>
        <v>6.3354602274762062</v>
      </c>
      <c r="F14" s="82">
        <f t="shared" si="3"/>
        <v>6.9061205421869349</v>
      </c>
      <c r="G14" s="81">
        <f t="shared" si="4"/>
        <v>2.9896625723752965</v>
      </c>
      <c r="H14" s="80">
        <f t="shared" si="5"/>
        <v>3.6099776643753314</v>
      </c>
      <c r="I14" s="82">
        <f t="shared" si="6"/>
        <v>2.1306798542865097</v>
      </c>
      <c r="J14" s="81">
        <f t="shared" si="7"/>
        <v>0.92237223129286139</v>
      </c>
      <c r="K14" s="80">
        <f t="shared" si="8"/>
        <v>2.2274499883650645</v>
      </c>
      <c r="L14" s="82">
        <f t="shared" si="9"/>
        <v>0.5602276927653842</v>
      </c>
      <c r="M14" s="81">
        <f t="shared" si="10"/>
        <v>0.24252281072094553</v>
      </c>
      <c r="N14" s="80">
        <f t="shared" si="11"/>
        <v>1.2870658447001184</v>
      </c>
      <c r="O14" s="82">
        <f t="shared" si="12"/>
        <v>0.26440323254770864</v>
      </c>
      <c r="P14" s="81">
        <f t="shared" si="13"/>
        <v>0.1144602738301769</v>
      </c>
      <c r="Q14" s="80">
        <f t="shared" si="14"/>
        <v>0.94559939610620913</v>
      </c>
    </row>
    <row r="15" spans="1:17" x14ac:dyDescent="0.2">
      <c r="A15" s="79">
        <f t="shared" si="0"/>
        <v>480</v>
      </c>
      <c r="B15" s="71">
        <v>8</v>
      </c>
      <c r="C15" s="78">
        <f t="shared" si="1"/>
        <v>46.296608652201989</v>
      </c>
      <c r="D15" s="77">
        <v>20.100000000000001</v>
      </c>
      <c r="E15" s="76">
        <f t="shared" si="2"/>
        <v>8.4472803033016071</v>
      </c>
      <c r="F15" s="75">
        <f t="shared" si="3"/>
        <v>11.765779216117853</v>
      </c>
      <c r="G15" s="74">
        <f t="shared" si="4"/>
        <v>5.0934109160683345</v>
      </c>
      <c r="H15" s="73">
        <f t="shared" si="5"/>
        <v>4.8133035525004413</v>
      </c>
      <c r="I15" s="75">
        <f t="shared" si="6"/>
        <v>3.6299842426188951</v>
      </c>
      <c r="J15" s="74">
        <f t="shared" si="7"/>
        <v>1.5714217500514698</v>
      </c>
      <c r="K15" s="73">
        <f t="shared" si="8"/>
        <v>2.969933317820086</v>
      </c>
      <c r="L15" s="75">
        <f t="shared" si="9"/>
        <v>0.95444545219960875</v>
      </c>
      <c r="M15" s="74">
        <f t="shared" si="10"/>
        <v>0.41317984943706004</v>
      </c>
      <c r="N15" s="73">
        <f t="shared" si="11"/>
        <v>1.716087792933491</v>
      </c>
      <c r="O15" s="75">
        <f t="shared" si="12"/>
        <v>0.45045695903811805</v>
      </c>
      <c r="P15" s="74">
        <f t="shared" si="13"/>
        <v>0.19500301257061387</v>
      </c>
      <c r="Q15" s="73">
        <f t="shared" si="14"/>
        <v>1.2607991948082786</v>
      </c>
    </row>
    <row r="16" spans="1:17" x14ac:dyDescent="0.2">
      <c r="A16" s="72">
        <f t="shared" si="0"/>
        <v>600</v>
      </c>
      <c r="B16" s="71">
        <v>10</v>
      </c>
      <c r="C16" s="115"/>
      <c r="D16" s="114"/>
      <c r="E16" s="113"/>
      <c r="F16" s="69">
        <f t="shared" si="3"/>
        <v>17.786808885775393</v>
      </c>
      <c r="G16" s="68">
        <f t="shared" si="4"/>
        <v>7.6999172665694342</v>
      </c>
      <c r="H16" s="67">
        <f t="shared" si="5"/>
        <v>6.0166294406255529</v>
      </c>
      <c r="I16" s="66">
        <f t="shared" si="6"/>
        <v>5.4875954066340258</v>
      </c>
      <c r="J16" s="65">
        <f t="shared" si="7"/>
        <v>2.3755824271142969</v>
      </c>
      <c r="K16" s="64">
        <f t="shared" si="8"/>
        <v>3.7124166472751079</v>
      </c>
      <c r="L16" s="66">
        <f t="shared" si="9"/>
        <v>1.4428741639921203</v>
      </c>
      <c r="M16" s="65">
        <f t="shared" si="10"/>
        <v>0.62462085021303904</v>
      </c>
      <c r="N16" s="64">
        <f t="shared" si="11"/>
        <v>2.145109741166864</v>
      </c>
      <c r="O16" s="66">
        <f t="shared" si="12"/>
        <v>0.68097417897343493</v>
      </c>
      <c r="P16" s="65">
        <f t="shared" si="13"/>
        <v>0.29479401687161683</v>
      </c>
      <c r="Q16" s="64">
        <f t="shared" si="14"/>
        <v>1.5759989935103484</v>
      </c>
    </row>
    <row r="17" spans="1:17" ht="13.5" thickBot="1" x14ac:dyDescent="0.25">
      <c r="A17" s="63">
        <f t="shared" si="0"/>
        <v>900</v>
      </c>
      <c r="B17" s="62">
        <v>15</v>
      </c>
      <c r="C17" s="57"/>
      <c r="D17" s="61"/>
      <c r="E17" s="55"/>
      <c r="F17" s="60">
        <f t="shared" si="3"/>
        <v>37.689384967217791</v>
      </c>
      <c r="G17" s="59">
        <f t="shared" si="4"/>
        <v>16.315751068059651</v>
      </c>
      <c r="H17" s="58">
        <f t="shared" si="5"/>
        <v>9.024944160938329</v>
      </c>
      <c r="I17" s="60">
        <f t="shared" si="6"/>
        <v>11.627948394406422</v>
      </c>
      <c r="J17" s="59">
        <f t="shared" si="7"/>
        <v>5.0337438936824341</v>
      </c>
      <c r="K17" s="58">
        <f t="shared" si="8"/>
        <v>5.5686249709126621</v>
      </c>
      <c r="L17" s="57">
        <f t="shared" si="9"/>
        <v>3.0573803415317293</v>
      </c>
      <c r="M17" s="56">
        <f t="shared" si="10"/>
        <v>1.3235412733903591</v>
      </c>
      <c r="N17" s="55">
        <f t="shared" si="11"/>
        <v>3.2176646117502963</v>
      </c>
      <c r="O17" s="57">
        <f t="shared" si="12"/>
        <v>1.4429512426251048</v>
      </c>
      <c r="P17" s="56">
        <f t="shared" si="13"/>
        <v>0.62465421758662543</v>
      </c>
      <c r="Q17" s="55">
        <f t="shared" si="14"/>
        <v>2.3639984902655229</v>
      </c>
    </row>
    <row r="18" spans="1:17" x14ac:dyDescent="0.2">
      <c r="A18" s="96">
        <f t="shared" si="0"/>
        <v>1200</v>
      </c>
      <c r="B18" s="97">
        <v>20</v>
      </c>
      <c r="C18" s="91"/>
      <c r="D18" s="109"/>
      <c r="E18" s="89"/>
      <c r="F18" s="112"/>
      <c r="G18" s="111"/>
      <c r="H18" s="110"/>
      <c r="I18" s="94">
        <f t="shared" si="6"/>
        <v>19.810235386026786</v>
      </c>
      <c r="J18" s="93">
        <f t="shared" si="7"/>
        <v>8.5758594744704695</v>
      </c>
      <c r="K18" s="92">
        <f t="shared" si="8"/>
        <v>7.4248332945502158</v>
      </c>
      <c r="L18" s="91">
        <f t="shared" si="9"/>
        <v>5.2087799305585358</v>
      </c>
      <c r="M18" s="90">
        <f t="shared" si="10"/>
        <v>2.2548830868218768</v>
      </c>
      <c r="N18" s="89">
        <f t="shared" si="11"/>
        <v>4.2902194823337281</v>
      </c>
      <c r="O18" s="91">
        <f t="shared" si="12"/>
        <v>2.4583187676266238</v>
      </c>
      <c r="P18" s="90">
        <f t="shared" si="13"/>
        <v>1.0642072587128242</v>
      </c>
      <c r="Q18" s="89">
        <f t="shared" si="14"/>
        <v>3.1519979870206969</v>
      </c>
    </row>
    <row r="19" spans="1:17" x14ac:dyDescent="0.2">
      <c r="A19" s="72">
        <f t="shared" si="0"/>
        <v>1500</v>
      </c>
      <c r="B19" s="71">
        <v>25</v>
      </c>
      <c r="C19" s="66"/>
      <c r="D19" s="70"/>
      <c r="E19" s="64"/>
      <c r="F19" s="66"/>
      <c r="G19" s="70"/>
      <c r="H19" s="64"/>
      <c r="I19" s="69">
        <f t="shared" si="6"/>
        <v>29.947941765793683</v>
      </c>
      <c r="J19" s="68">
        <f t="shared" si="7"/>
        <v>12.96447695488904</v>
      </c>
      <c r="K19" s="67">
        <f t="shared" si="8"/>
        <v>9.2810416181877677</v>
      </c>
      <c r="L19" s="69">
        <f t="shared" si="9"/>
        <v>7.8743253167618352</v>
      </c>
      <c r="M19" s="68">
        <f t="shared" si="10"/>
        <v>3.4087988384250369</v>
      </c>
      <c r="N19" s="67">
        <f t="shared" si="11"/>
        <v>5.3627743529171594</v>
      </c>
      <c r="O19" s="66">
        <f t="shared" si="12"/>
        <v>3.7163408642064417</v>
      </c>
      <c r="P19" s="65">
        <f t="shared" si="13"/>
        <v>1.6088055689205376</v>
      </c>
      <c r="Q19" s="64">
        <f t="shared" si="14"/>
        <v>3.9399974837758709</v>
      </c>
    </row>
    <row r="20" spans="1:17" ht="13.5" thickBot="1" x14ac:dyDescent="0.25">
      <c r="A20" s="87">
        <f t="shared" si="0"/>
        <v>1800</v>
      </c>
      <c r="B20" s="86">
        <v>30</v>
      </c>
      <c r="C20" s="82"/>
      <c r="D20" s="108"/>
      <c r="E20" s="80"/>
      <c r="F20" s="82"/>
      <c r="G20" s="108"/>
      <c r="H20" s="80"/>
      <c r="I20" s="82"/>
      <c r="J20" s="81"/>
      <c r="K20" s="80"/>
      <c r="L20" s="85">
        <f t="shared" si="9"/>
        <v>11.037151929446869</v>
      </c>
      <c r="M20" s="84">
        <f t="shared" si="10"/>
        <v>4.7779878482453979</v>
      </c>
      <c r="N20" s="83">
        <f t="shared" si="11"/>
        <v>6.4353292235005926</v>
      </c>
      <c r="O20" s="82">
        <f t="shared" si="12"/>
        <v>5.2090581846478967</v>
      </c>
      <c r="P20" s="81">
        <f t="shared" si="13"/>
        <v>2.2550035431376174</v>
      </c>
      <c r="Q20" s="80">
        <f t="shared" si="14"/>
        <v>4.7279969805310458</v>
      </c>
    </row>
    <row r="21" spans="1:17" x14ac:dyDescent="0.2">
      <c r="A21" s="96">
        <f t="shared" si="0"/>
        <v>2100</v>
      </c>
      <c r="B21" s="97">
        <v>35</v>
      </c>
      <c r="C21" s="91"/>
      <c r="D21" s="109"/>
      <c r="E21" s="89"/>
      <c r="F21" s="91"/>
      <c r="G21" s="109"/>
      <c r="H21" s="89"/>
      <c r="I21" s="91"/>
      <c r="J21" s="109"/>
      <c r="K21" s="89"/>
      <c r="L21" s="94">
        <f t="shared" si="9"/>
        <v>14.683935736603946</v>
      </c>
      <c r="M21" s="93">
        <f t="shared" si="10"/>
        <v>6.3566821370579847</v>
      </c>
      <c r="N21" s="92">
        <f t="shared" si="11"/>
        <v>7.507884094084023</v>
      </c>
      <c r="O21" s="94">
        <f t="shared" si="12"/>
        <v>6.9301823623110907</v>
      </c>
      <c r="P21" s="93">
        <f t="shared" si="13"/>
        <v>3.0000789447234157</v>
      </c>
      <c r="Q21" s="92">
        <f t="shared" si="14"/>
        <v>5.5159964772862189</v>
      </c>
    </row>
    <row r="22" spans="1:17" x14ac:dyDescent="0.2">
      <c r="A22" s="72">
        <f t="shared" si="0"/>
        <v>2400</v>
      </c>
      <c r="B22" s="88">
        <v>40</v>
      </c>
      <c r="C22" s="66"/>
      <c r="D22" s="70"/>
      <c r="E22" s="64"/>
      <c r="F22" s="66"/>
      <c r="G22" s="70"/>
      <c r="H22" s="64"/>
      <c r="I22" s="66"/>
      <c r="J22" s="70"/>
      <c r="K22" s="64"/>
      <c r="L22" s="69">
        <f t="shared" si="9"/>
        <v>18.80371070608313</v>
      </c>
      <c r="M22" s="68">
        <f t="shared" si="10"/>
        <v>8.1401345047978921</v>
      </c>
      <c r="N22" s="67">
        <f t="shared" si="11"/>
        <v>8.5804389646674561</v>
      </c>
      <c r="O22" s="69">
        <f t="shared" si="12"/>
        <v>8.8745379044702872</v>
      </c>
      <c r="P22" s="68">
        <f t="shared" si="13"/>
        <v>3.8417913006364879</v>
      </c>
      <c r="Q22" s="67">
        <f t="shared" si="14"/>
        <v>6.3039959740413938</v>
      </c>
    </row>
    <row r="23" spans="1:17" ht="13.5" thickBot="1" x14ac:dyDescent="0.25">
      <c r="A23" s="87">
        <f t="shared" si="0"/>
        <v>2700</v>
      </c>
      <c r="B23" s="86">
        <v>45</v>
      </c>
      <c r="C23" s="82"/>
      <c r="D23" s="108"/>
      <c r="E23" s="80"/>
      <c r="F23" s="82"/>
      <c r="G23" s="108"/>
      <c r="H23" s="80"/>
      <c r="I23" s="82"/>
      <c r="J23" s="108"/>
      <c r="K23" s="80"/>
      <c r="L23" s="85">
        <f t="shared" si="9"/>
        <v>23.387189387482941</v>
      </c>
      <c r="M23" s="84">
        <f t="shared" si="10"/>
        <v>10.124324410165775</v>
      </c>
      <c r="N23" s="83">
        <f t="shared" si="11"/>
        <v>9.6529938352508875</v>
      </c>
      <c r="O23" s="85">
        <f t="shared" si="12"/>
        <v>11.037741536360619</v>
      </c>
      <c r="P23" s="84">
        <f t="shared" si="13"/>
        <v>4.7782430893336008</v>
      </c>
      <c r="Q23" s="83">
        <f t="shared" si="14"/>
        <v>7.0919954707965687</v>
      </c>
    </row>
    <row r="24" spans="1:17" x14ac:dyDescent="0.2">
      <c r="A24" s="79">
        <f t="shared" si="0"/>
        <v>3000</v>
      </c>
      <c r="B24" s="71">
        <v>50</v>
      </c>
      <c r="C24" s="75"/>
      <c r="D24" s="107"/>
      <c r="E24" s="73"/>
      <c r="F24" s="75"/>
      <c r="G24" s="107"/>
      <c r="H24" s="73"/>
      <c r="I24" s="75"/>
      <c r="J24" s="107"/>
      <c r="K24" s="73"/>
      <c r="L24" s="75"/>
      <c r="M24" s="107"/>
      <c r="N24" s="73"/>
      <c r="O24" s="78">
        <f t="shared" si="12"/>
        <v>13.41600133377867</v>
      </c>
      <c r="P24" s="77">
        <f t="shared" si="13"/>
        <v>5.8077927851855717</v>
      </c>
      <c r="Q24" s="76">
        <f t="shared" si="14"/>
        <v>7.8799949675517418</v>
      </c>
    </row>
    <row r="25" spans="1:17" x14ac:dyDescent="0.2">
      <c r="A25" s="72">
        <f t="shared" si="0"/>
        <v>3600</v>
      </c>
      <c r="B25" s="71">
        <v>60</v>
      </c>
      <c r="C25" s="66"/>
      <c r="D25" s="70"/>
      <c r="E25" s="64"/>
      <c r="F25" s="66"/>
      <c r="G25" s="70"/>
      <c r="H25" s="64"/>
      <c r="I25" s="66"/>
      <c r="J25" s="70"/>
      <c r="K25" s="64"/>
      <c r="L25" s="66"/>
      <c r="M25" s="70"/>
      <c r="N25" s="64"/>
      <c r="O25" s="69">
        <f t="shared" si="12"/>
        <v>18.804715204155404</v>
      </c>
      <c r="P25" s="68">
        <f t="shared" si="13"/>
        <v>8.1405693524482263</v>
      </c>
      <c r="Q25" s="67">
        <f t="shared" si="14"/>
        <v>9.4559939610620916</v>
      </c>
    </row>
    <row r="26" spans="1:17" ht="13.5" thickBot="1" x14ac:dyDescent="0.25">
      <c r="A26" s="63">
        <f t="shared" si="0"/>
        <v>4200</v>
      </c>
      <c r="B26" s="62">
        <v>70</v>
      </c>
      <c r="C26" s="57"/>
      <c r="D26" s="61"/>
      <c r="E26" s="55"/>
      <c r="F26" s="57"/>
      <c r="G26" s="61"/>
      <c r="H26" s="55"/>
      <c r="I26" s="57"/>
      <c r="J26" s="61"/>
      <c r="K26" s="55"/>
      <c r="L26" s="57"/>
      <c r="M26" s="61"/>
      <c r="N26" s="55"/>
      <c r="O26" s="57"/>
      <c r="P26" s="56"/>
      <c r="Q26" s="55"/>
    </row>
    <row r="27" spans="1:17" x14ac:dyDescent="0.2">
      <c r="A27" s="96">
        <f t="shared" si="0"/>
        <v>4800</v>
      </c>
      <c r="B27" s="95">
        <v>80</v>
      </c>
      <c r="C27" s="91"/>
      <c r="D27" s="109"/>
      <c r="E27" s="89"/>
      <c r="F27" s="91"/>
      <c r="G27" s="109"/>
      <c r="H27" s="89"/>
      <c r="I27" s="91"/>
      <c r="J27" s="109"/>
      <c r="K27" s="89"/>
      <c r="L27" s="91"/>
      <c r="M27" s="109"/>
      <c r="N27" s="89"/>
      <c r="O27" s="91"/>
      <c r="P27" s="90"/>
      <c r="Q27" s="89"/>
    </row>
    <row r="28" spans="1:17" x14ac:dyDescent="0.2">
      <c r="A28" s="72">
        <f t="shared" si="0"/>
        <v>5400</v>
      </c>
      <c r="B28" s="88">
        <v>90</v>
      </c>
      <c r="C28" s="66"/>
      <c r="D28" s="70"/>
      <c r="E28" s="64"/>
      <c r="F28" s="66"/>
      <c r="G28" s="70"/>
      <c r="H28" s="64"/>
      <c r="I28" s="66"/>
      <c r="J28" s="70"/>
      <c r="K28" s="64"/>
      <c r="L28" s="66"/>
      <c r="M28" s="70"/>
      <c r="N28" s="64"/>
      <c r="O28" s="66"/>
      <c r="P28" s="70"/>
      <c r="Q28" s="64"/>
    </row>
    <row r="29" spans="1:17" ht="13.5" thickBot="1" x14ac:dyDescent="0.25">
      <c r="A29" s="87">
        <f t="shared" si="0"/>
        <v>6000</v>
      </c>
      <c r="B29" s="86">
        <v>100</v>
      </c>
      <c r="C29" s="82"/>
      <c r="D29" s="108"/>
      <c r="E29" s="80"/>
      <c r="F29" s="82"/>
      <c r="G29" s="108"/>
      <c r="H29" s="80"/>
      <c r="I29" s="82"/>
      <c r="J29" s="108"/>
      <c r="K29" s="80"/>
      <c r="L29" s="82"/>
      <c r="M29" s="108"/>
      <c r="N29" s="80"/>
      <c r="O29" s="82"/>
      <c r="P29" s="108"/>
      <c r="Q29" s="80"/>
    </row>
    <row r="30" spans="1:17" x14ac:dyDescent="0.2">
      <c r="A30" s="79">
        <f t="shared" si="0"/>
        <v>7500</v>
      </c>
      <c r="B30" s="71">
        <v>125</v>
      </c>
      <c r="C30" s="75"/>
      <c r="D30" s="107"/>
      <c r="E30" s="73"/>
      <c r="F30" s="75"/>
      <c r="G30" s="107"/>
      <c r="H30" s="73"/>
      <c r="I30" s="75"/>
      <c r="J30" s="107"/>
      <c r="K30" s="73"/>
      <c r="L30" s="75"/>
      <c r="M30" s="107"/>
      <c r="N30" s="73"/>
      <c r="O30" s="75"/>
      <c r="P30" s="107"/>
      <c r="Q30" s="73"/>
    </row>
    <row r="31" spans="1:17" x14ac:dyDescent="0.2">
      <c r="A31" s="72">
        <f t="shared" si="0"/>
        <v>9000</v>
      </c>
      <c r="B31" s="71">
        <v>150</v>
      </c>
      <c r="C31" s="66"/>
      <c r="D31" s="70"/>
      <c r="E31" s="64"/>
      <c r="F31" s="66"/>
      <c r="G31" s="70"/>
      <c r="H31" s="64"/>
      <c r="I31" s="66"/>
      <c r="J31" s="70"/>
      <c r="K31" s="64"/>
      <c r="L31" s="66"/>
      <c r="M31" s="70"/>
      <c r="N31" s="64"/>
      <c r="O31" s="66"/>
      <c r="P31" s="70"/>
      <c r="Q31" s="64"/>
    </row>
    <row r="32" spans="1:17" ht="13.5" thickBot="1" x14ac:dyDescent="0.25">
      <c r="A32" s="63">
        <f t="shared" si="0"/>
        <v>10500</v>
      </c>
      <c r="B32" s="62">
        <v>175</v>
      </c>
      <c r="C32" s="57"/>
      <c r="D32" s="61"/>
      <c r="E32" s="55"/>
      <c r="F32" s="57"/>
      <c r="G32" s="61"/>
      <c r="H32" s="55"/>
      <c r="I32" s="57"/>
      <c r="J32" s="61"/>
      <c r="K32" s="55"/>
      <c r="L32" s="57"/>
      <c r="M32" s="61"/>
      <c r="N32" s="55"/>
      <c r="O32" s="57"/>
      <c r="P32" s="61"/>
      <c r="Q32" s="55"/>
    </row>
    <row r="33" spans="1:17" ht="13.5" thickBot="1" x14ac:dyDescent="0.25">
      <c r="A33" s="54">
        <f t="shared" si="0"/>
        <v>12000</v>
      </c>
      <c r="B33" s="53">
        <v>200</v>
      </c>
      <c r="C33" s="48"/>
      <c r="D33" s="52"/>
      <c r="E33" s="46"/>
      <c r="F33" s="48"/>
      <c r="G33" s="52"/>
      <c r="H33" s="46"/>
      <c r="I33" s="48"/>
      <c r="J33" s="52"/>
      <c r="K33" s="46"/>
      <c r="L33" s="48"/>
      <c r="M33" s="52"/>
      <c r="N33" s="46"/>
      <c r="O33" s="48"/>
      <c r="P33" s="52"/>
      <c r="Q33" s="46"/>
    </row>
    <row r="34" spans="1:17" ht="14.25" x14ac:dyDescent="0.2">
      <c r="B34" s="44" t="s">
        <v>108</v>
      </c>
      <c r="J34" t="s">
        <v>107</v>
      </c>
      <c r="N34" t="s">
        <v>106</v>
      </c>
    </row>
    <row r="35" spans="1:17" x14ac:dyDescent="0.2">
      <c r="B35" s="44" t="s">
        <v>105</v>
      </c>
      <c r="N35" t="s">
        <v>104</v>
      </c>
    </row>
    <row r="36" spans="1:17" x14ac:dyDescent="0.2">
      <c r="B36" s="9"/>
      <c r="C36" s="44"/>
      <c r="N36" t="s">
        <v>223</v>
      </c>
    </row>
    <row r="37" spans="1:17" x14ac:dyDescent="0.2">
      <c r="B37" s="9"/>
      <c r="C37" s="44"/>
      <c r="N37" t="s">
        <v>117</v>
      </c>
    </row>
    <row r="38" spans="1:17" x14ac:dyDescent="0.2">
      <c r="B38" s="9"/>
      <c r="C38" s="44"/>
      <c r="N38" t="s">
        <v>131</v>
      </c>
    </row>
    <row r="39" spans="1:17" x14ac:dyDescent="0.2">
      <c r="B39" s="9"/>
      <c r="C39" s="44"/>
    </row>
    <row r="40" spans="1:17" x14ac:dyDescent="0.2">
      <c r="B40" s="9" t="s">
        <v>134</v>
      </c>
      <c r="C40" s="44"/>
    </row>
    <row r="41" spans="1:17" ht="18" x14ac:dyDescent="0.25">
      <c r="B41" s="9"/>
      <c r="D41" s="106" t="s">
        <v>116</v>
      </c>
      <c r="E41" s="105"/>
      <c r="F41" s="105"/>
    </row>
    <row r="42" spans="1:17" ht="13.5" thickBot="1" x14ac:dyDescent="0.25">
      <c r="B42" s="9"/>
      <c r="E42" t="s">
        <v>115</v>
      </c>
    </row>
    <row r="43" spans="1:17" x14ac:dyDescent="0.2">
      <c r="A43" s="27"/>
      <c r="B43" s="104"/>
      <c r="C43" s="295">
        <v>2</v>
      </c>
      <c r="D43" s="296"/>
      <c r="E43" s="298"/>
      <c r="F43" s="292">
        <v>2.5</v>
      </c>
      <c r="G43" s="293"/>
      <c r="H43" s="294"/>
      <c r="I43" s="295">
        <v>3</v>
      </c>
      <c r="J43" s="296"/>
      <c r="K43" s="298"/>
      <c r="L43" s="292">
        <v>4</v>
      </c>
      <c r="M43" s="293"/>
      <c r="N43" s="294"/>
      <c r="O43" s="295">
        <v>6</v>
      </c>
      <c r="P43" s="293"/>
      <c r="Q43" s="298"/>
    </row>
    <row r="44" spans="1:17" x14ac:dyDescent="0.2">
      <c r="A44" s="278" t="s">
        <v>114</v>
      </c>
      <c r="B44" s="279"/>
      <c r="C44" s="273" t="s">
        <v>113</v>
      </c>
      <c r="D44" s="274"/>
      <c r="E44" s="103" t="s">
        <v>112</v>
      </c>
      <c r="F44" s="273" t="s">
        <v>113</v>
      </c>
      <c r="G44" s="274"/>
      <c r="H44" s="103" t="s">
        <v>112</v>
      </c>
      <c r="I44" s="273" t="s">
        <v>113</v>
      </c>
      <c r="J44" s="274"/>
      <c r="K44" s="103" t="s">
        <v>112</v>
      </c>
      <c r="L44" s="273" t="s">
        <v>113</v>
      </c>
      <c r="M44" s="274"/>
      <c r="N44" s="103" t="s">
        <v>112</v>
      </c>
      <c r="O44" s="273" t="s">
        <v>113</v>
      </c>
      <c r="P44" s="274"/>
      <c r="Q44" s="102" t="s">
        <v>112</v>
      </c>
    </row>
    <row r="45" spans="1:17" ht="13.5" thickBot="1" x14ac:dyDescent="0.25">
      <c r="A45" s="87" t="s">
        <v>111</v>
      </c>
      <c r="B45" s="98" t="s">
        <v>17</v>
      </c>
      <c r="C45" s="100" t="s">
        <v>16</v>
      </c>
      <c r="D45" s="99" t="s">
        <v>110</v>
      </c>
      <c r="E45" s="101" t="s">
        <v>109</v>
      </c>
      <c r="F45" s="100" t="s">
        <v>16</v>
      </c>
      <c r="G45" s="99" t="s">
        <v>110</v>
      </c>
      <c r="H45" s="101" t="s">
        <v>109</v>
      </c>
      <c r="I45" s="100" t="s">
        <v>16</v>
      </c>
      <c r="J45" s="99" t="s">
        <v>110</v>
      </c>
      <c r="K45" s="101" t="s">
        <v>109</v>
      </c>
      <c r="L45" s="100" t="s">
        <v>16</v>
      </c>
      <c r="M45" s="99" t="s">
        <v>110</v>
      </c>
      <c r="N45" s="101" t="s">
        <v>109</v>
      </c>
      <c r="O45" s="100" t="s">
        <v>16</v>
      </c>
      <c r="P45" s="99" t="s">
        <v>110</v>
      </c>
      <c r="Q45" s="98" t="s">
        <v>109</v>
      </c>
    </row>
    <row r="46" spans="1:17" x14ac:dyDescent="0.2">
      <c r="A46" s="96">
        <f t="shared" ref="A46:A70" si="15">B46*60</f>
        <v>60</v>
      </c>
      <c r="B46" s="71">
        <v>1</v>
      </c>
      <c r="C46" s="91"/>
      <c r="D46" s="90"/>
      <c r="E46" s="89"/>
      <c r="F46" s="91"/>
      <c r="G46" s="90"/>
      <c r="H46" s="89"/>
      <c r="I46" s="91"/>
      <c r="J46" s="90"/>
      <c r="K46" s="89"/>
      <c r="L46" s="91"/>
      <c r="M46" s="90"/>
      <c r="N46" s="89"/>
      <c r="O46" s="91"/>
      <c r="P46" s="90"/>
      <c r="Q46" s="89"/>
    </row>
    <row r="47" spans="1:17" x14ac:dyDescent="0.2">
      <c r="A47" s="72">
        <f t="shared" si="15"/>
        <v>120</v>
      </c>
      <c r="B47" s="71">
        <v>2</v>
      </c>
      <c r="C47" s="66"/>
      <c r="D47" s="65"/>
      <c r="E47" s="64"/>
      <c r="F47" s="66"/>
      <c r="G47" s="65"/>
      <c r="H47" s="64"/>
      <c r="I47" s="66"/>
      <c r="J47" s="65"/>
      <c r="K47" s="64"/>
      <c r="L47" s="66"/>
      <c r="M47" s="65"/>
      <c r="N47" s="64"/>
      <c r="O47" s="66"/>
      <c r="P47" s="65"/>
      <c r="Q47" s="64"/>
    </row>
    <row r="48" spans="1:17" ht="13.5" thickBot="1" x14ac:dyDescent="0.25">
      <c r="A48" s="63">
        <f t="shared" si="15"/>
        <v>180</v>
      </c>
      <c r="B48" s="62">
        <v>3</v>
      </c>
      <c r="C48" s="57"/>
      <c r="D48" s="56"/>
      <c r="E48" s="55"/>
      <c r="F48" s="57"/>
      <c r="G48" s="56"/>
      <c r="H48" s="55"/>
      <c r="I48" s="57"/>
      <c r="J48" s="56"/>
      <c r="K48" s="55"/>
      <c r="L48" s="57"/>
      <c r="M48" s="56"/>
      <c r="N48" s="55"/>
      <c r="O48" s="57"/>
      <c r="P48" s="56"/>
      <c r="Q48" s="55"/>
    </row>
    <row r="49" spans="1:17" x14ac:dyDescent="0.2">
      <c r="A49" s="96">
        <f t="shared" si="15"/>
        <v>240</v>
      </c>
      <c r="B49" s="95">
        <v>4</v>
      </c>
      <c r="C49" s="91"/>
      <c r="D49" s="90"/>
      <c r="E49" s="89"/>
      <c r="F49" s="91"/>
      <c r="G49" s="90"/>
      <c r="H49" s="89"/>
      <c r="I49" s="91"/>
      <c r="J49" s="90"/>
      <c r="K49" s="89"/>
      <c r="L49" s="91"/>
      <c r="M49" s="90"/>
      <c r="N49" s="89"/>
      <c r="O49" s="91"/>
      <c r="P49" s="90"/>
      <c r="Q49" s="89"/>
    </row>
    <row r="50" spans="1:17" x14ac:dyDescent="0.2">
      <c r="A50" s="72">
        <f t="shared" si="15"/>
        <v>300</v>
      </c>
      <c r="B50" s="88">
        <v>5</v>
      </c>
      <c r="C50" s="66"/>
      <c r="D50" s="65"/>
      <c r="E50" s="64"/>
      <c r="F50" s="66"/>
      <c r="G50" s="65"/>
      <c r="H50" s="64"/>
      <c r="I50" s="66"/>
      <c r="J50" s="65"/>
      <c r="K50" s="64"/>
      <c r="L50" s="66"/>
      <c r="M50" s="65"/>
      <c r="N50" s="64"/>
      <c r="O50" s="66"/>
      <c r="P50" s="65"/>
      <c r="Q50" s="64"/>
    </row>
    <row r="51" spans="1:17" ht="13.5" thickBot="1" x14ac:dyDescent="0.25">
      <c r="A51" s="87">
        <f t="shared" si="15"/>
        <v>360</v>
      </c>
      <c r="B51" s="86">
        <v>6</v>
      </c>
      <c r="C51" s="82">
        <f t="shared" ref="C51:C66" si="16">10.44*($B14/150)^1.852*$H$102^(-4.871)*100</f>
        <v>7.8287448849264127E-2</v>
      </c>
      <c r="D51" s="81">
        <f t="shared" ref="D51:D66" si="17">C51/2.31</f>
        <v>3.3890670497516935E-2</v>
      </c>
      <c r="E51" s="80">
        <f t="shared" ref="E51:E66" si="18">$B14/7.48/60/(3.14168*($H$102/12/2)^2)</f>
        <v>0.57369093159675888</v>
      </c>
      <c r="F51" s="82"/>
      <c r="G51" s="81"/>
      <c r="H51" s="80"/>
      <c r="I51" s="82"/>
      <c r="J51" s="81"/>
      <c r="K51" s="80"/>
      <c r="L51" s="82"/>
      <c r="M51" s="81"/>
      <c r="N51" s="80"/>
      <c r="O51" s="82"/>
      <c r="P51" s="81"/>
      <c r="Q51" s="80"/>
    </row>
    <row r="52" spans="1:17" x14ac:dyDescent="0.2">
      <c r="A52" s="79">
        <f t="shared" si="15"/>
        <v>480</v>
      </c>
      <c r="B52" s="71">
        <v>8</v>
      </c>
      <c r="C52" s="75">
        <f t="shared" si="16"/>
        <v>0.13337630481930107</v>
      </c>
      <c r="D52" s="74">
        <f t="shared" si="17"/>
        <v>5.7738660094935529E-2</v>
      </c>
      <c r="E52" s="73">
        <f t="shared" si="18"/>
        <v>0.76492124212901169</v>
      </c>
      <c r="F52" s="75"/>
      <c r="G52" s="74"/>
      <c r="H52" s="73"/>
      <c r="I52" s="75"/>
      <c r="J52" s="74"/>
      <c r="K52" s="73"/>
      <c r="L52" s="75"/>
      <c r="M52" s="74"/>
      <c r="N52" s="73"/>
      <c r="O52" s="75"/>
      <c r="P52" s="74"/>
      <c r="Q52" s="73"/>
    </row>
    <row r="53" spans="1:17" x14ac:dyDescent="0.2">
      <c r="A53" s="72">
        <f t="shared" si="15"/>
        <v>600</v>
      </c>
      <c r="B53" s="71">
        <v>10</v>
      </c>
      <c r="C53" s="66">
        <f t="shared" si="16"/>
        <v>0.2016304062940415</v>
      </c>
      <c r="D53" s="65">
        <f t="shared" si="17"/>
        <v>8.7285890170580735E-2</v>
      </c>
      <c r="E53" s="64">
        <f t="shared" si="18"/>
        <v>0.95615155266126473</v>
      </c>
      <c r="F53" s="66">
        <f t="shared" ref="F53:F68" si="19">10.44*($B16/150)^1.852*$I$102^(-4.871)*100</f>
        <v>8.4841679645737245E-2</v>
      </c>
      <c r="G53" s="65">
        <f t="shared" ref="G53:G68" si="20">F53/2.31</f>
        <v>3.6727999846639499E-2</v>
      </c>
      <c r="H53" s="64">
        <f t="shared" ref="H53:H68" si="21">$B16/7.48/60/(3.14168*($I$102/12/2)^2)</f>
        <v>0.67013994857876802</v>
      </c>
      <c r="I53" s="66"/>
      <c r="J53" s="65"/>
      <c r="K53" s="64"/>
      <c r="L53" s="66"/>
      <c r="M53" s="65"/>
      <c r="N53" s="64"/>
      <c r="O53" s="66"/>
      <c r="P53" s="65"/>
      <c r="Q53" s="64"/>
    </row>
    <row r="54" spans="1:17" ht="13.5" thickBot="1" x14ac:dyDescent="0.25">
      <c r="A54" s="63">
        <f t="shared" si="15"/>
        <v>900</v>
      </c>
      <c r="B54" s="62">
        <v>15</v>
      </c>
      <c r="C54" s="57">
        <f t="shared" si="16"/>
        <v>0.42724504731087865</v>
      </c>
      <c r="D54" s="56">
        <f t="shared" si="17"/>
        <v>0.18495456593544529</v>
      </c>
      <c r="E54" s="55">
        <f t="shared" si="18"/>
        <v>1.4342273289918972</v>
      </c>
      <c r="F54" s="57">
        <f t="shared" si="19"/>
        <v>0.17977540243268661</v>
      </c>
      <c r="G54" s="56">
        <f t="shared" si="20"/>
        <v>7.7824849537959567E-2</v>
      </c>
      <c r="H54" s="55">
        <f t="shared" si="21"/>
        <v>1.0052099228681521</v>
      </c>
      <c r="I54" s="57">
        <f t="shared" ref="I54:I70" si="22">10.44*($B17/150)^1.852*$J$102^(-4.871)*100</f>
        <v>6.2406246631982021E-2</v>
      </c>
      <c r="J54" s="56">
        <f t="shared" ref="J54:J70" si="23">I54/2.31</f>
        <v>2.7015691182676198E-2</v>
      </c>
      <c r="K54" s="55">
        <f t="shared" ref="K54:K70" si="24">$B17/7.48/60/(3.14168*($J$102/12/2)^2)</f>
        <v>0.65101086441116351</v>
      </c>
      <c r="L54" s="57"/>
      <c r="M54" s="56"/>
      <c r="N54" s="55"/>
      <c r="O54" s="57"/>
      <c r="P54" s="56"/>
      <c r="Q54" s="55"/>
    </row>
    <row r="55" spans="1:17" x14ac:dyDescent="0.2">
      <c r="A55" s="96">
        <f t="shared" si="15"/>
        <v>1200</v>
      </c>
      <c r="B55" s="97">
        <v>20</v>
      </c>
      <c r="C55" s="91">
        <f t="shared" si="16"/>
        <v>0.72788635343567087</v>
      </c>
      <c r="D55" s="90">
        <f t="shared" si="17"/>
        <v>0.31510231750461942</v>
      </c>
      <c r="E55" s="89">
        <f t="shared" si="18"/>
        <v>1.9123031053225295</v>
      </c>
      <c r="F55" s="91">
        <f t="shared" si="19"/>
        <v>0.3062787103976492</v>
      </c>
      <c r="G55" s="90">
        <f t="shared" si="20"/>
        <v>0.13258818631932864</v>
      </c>
      <c r="H55" s="89">
        <f t="shared" si="21"/>
        <v>1.340279897157536</v>
      </c>
      <c r="I55" s="91">
        <f t="shared" si="22"/>
        <v>0.10631991073616338</v>
      </c>
      <c r="J55" s="90">
        <f t="shared" si="23"/>
        <v>4.6025935383620514E-2</v>
      </c>
      <c r="K55" s="89">
        <f t="shared" si="24"/>
        <v>0.86801448588155139</v>
      </c>
      <c r="L55" s="91"/>
      <c r="M55" s="90"/>
      <c r="N55" s="89"/>
      <c r="O55" s="91"/>
      <c r="P55" s="90"/>
      <c r="Q55" s="89"/>
    </row>
    <row r="56" spans="1:17" x14ac:dyDescent="0.2">
      <c r="A56" s="72">
        <f t="shared" si="15"/>
        <v>1500</v>
      </c>
      <c r="B56" s="71">
        <v>25</v>
      </c>
      <c r="C56" s="66">
        <f t="shared" si="16"/>
        <v>1.1003755230583061</v>
      </c>
      <c r="D56" s="65">
        <f t="shared" si="17"/>
        <v>0.47635304028498099</v>
      </c>
      <c r="E56" s="64">
        <f t="shared" si="18"/>
        <v>2.3903788816531617</v>
      </c>
      <c r="F56" s="66">
        <f t="shared" si="19"/>
        <v>0.46301403311749545</v>
      </c>
      <c r="G56" s="65">
        <f t="shared" si="20"/>
        <v>0.20043897537553915</v>
      </c>
      <c r="H56" s="64">
        <f t="shared" si="21"/>
        <v>1.6753498714469197</v>
      </c>
      <c r="I56" s="66">
        <f t="shared" si="22"/>
        <v>0.16072815053560102</v>
      </c>
      <c r="J56" s="65">
        <f t="shared" si="23"/>
        <v>6.9579285946147623E-2</v>
      </c>
      <c r="K56" s="64">
        <f t="shared" si="24"/>
        <v>1.0850181073519389</v>
      </c>
      <c r="L56" s="66"/>
      <c r="M56" s="65"/>
      <c r="N56" s="64"/>
      <c r="O56" s="66"/>
      <c r="P56" s="65"/>
      <c r="Q56" s="64"/>
    </row>
    <row r="57" spans="1:17" ht="13.5" thickBot="1" x14ac:dyDescent="0.25">
      <c r="A57" s="87">
        <f t="shared" si="15"/>
        <v>1800</v>
      </c>
      <c r="B57" s="86">
        <v>30</v>
      </c>
      <c r="C57" s="82">
        <f t="shared" si="16"/>
        <v>1.5423558640111528</v>
      </c>
      <c r="D57" s="81">
        <f t="shared" si="17"/>
        <v>0.66768652121694927</v>
      </c>
      <c r="E57" s="80">
        <f t="shared" si="18"/>
        <v>2.8684546579837944</v>
      </c>
      <c r="F57" s="82">
        <f t="shared" si="19"/>
        <v>0.64898972590140291</v>
      </c>
      <c r="G57" s="81">
        <f t="shared" si="20"/>
        <v>0.2809479332906506</v>
      </c>
      <c r="H57" s="80">
        <f t="shared" si="21"/>
        <v>2.0104198457363043</v>
      </c>
      <c r="I57" s="82">
        <f t="shared" si="22"/>
        <v>0.22528673193425433</v>
      </c>
      <c r="J57" s="81">
        <f t="shared" si="23"/>
        <v>9.7526723781062474E-2</v>
      </c>
      <c r="K57" s="80">
        <f t="shared" si="24"/>
        <v>1.302021728822327</v>
      </c>
      <c r="L57" s="57">
        <f t="shared" ref="L57:L70" si="25">10.44*($B20/150)^1.852*$K$102^(-4.871)*100</f>
        <v>5.996086843607603E-2</v>
      </c>
      <c r="M57" s="56">
        <f t="shared" ref="M57:M70" si="26">L57/2.31</f>
        <v>2.5957085903063216E-2</v>
      </c>
      <c r="N57" s="55">
        <f t="shared" ref="N57:N70" si="27">$B20/7.48/60/(3.14168*($K$102/12/2)^2)</f>
        <v>0.75610376647879995</v>
      </c>
      <c r="O57" s="57"/>
      <c r="P57" s="56"/>
      <c r="Q57" s="55"/>
    </row>
    <row r="58" spans="1:17" x14ac:dyDescent="0.2">
      <c r="A58" s="96">
        <f t="shared" si="15"/>
        <v>2100</v>
      </c>
      <c r="B58" s="97">
        <v>35</v>
      </c>
      <c r="C58" s="91">
        <f t="shared" si="16"/>
        <v>2.0519654467825217</v>
      </c>
      <c r="D58" s="90">
        <f t="shared" si="17"/>
        <v>0.88829673020888378</v>
      </c>
      <c r="E58" s="89">
        <f t="shared" si="18"/>
        <v>3.3465304343144262</v>
      </c>
      <c r="F58" s="91">
        <f t="shared" si="19"/>
        <v>0.86342232939888452</v>
      </c>
      <c r="G58" s="90">
        <f t="shared" si="20"/>
        <v>0.37377590017267726</v>
      </c>
      <c r="H58" s="89">
        <f t="shared" si="21"/>
        <v>2.345489820025688</v>
      </c>
      <c r="I58" s="91">
        <f t="shared" si="22"/>
        <v>0.29972368915265046</v>
      </c>
      <c r="J58" s="90">
        <f t="shared" si="23"/>
        <v>0.12975051478469718</v>
      </c>
      <c r="K58" s="89">
        <f t="shared" si="24"/>
        <v>1.5190253502927147</v>
      </c>
      <c r="L58" s="91">
        <f t="shared" si="25"/>
        <v>7.9772530491063823E-2</v>
      </c>
      <c r="M58" s="90">
        <f t="shared" si="26"/>
        <v>3.4533562983144514E-2</v>
      </c>
      <c r="N58" s="89">
        <f t="shared" si="27"/>
        <v>0.8821210608919331</v>
      </c>
      <c r="O58" s="91"/>
      <c r="P58" s="90"/>
      <c r="Q58" s="89"/>
    </row>
    <row r="59" spans="1:17" x14ac:dyDescent="0.2">
      <c r="A59" s="72">
        <f t="shared" si="15"/>
        <v>2400</v>
      </c>
      <c r="B59" s="88">
        <v>40</v>
      </c>
      <c r="C59" s="66">
        <f t="shared" si="16"/>
        <v>2.6276718539426733</v>
      </c>
      <c r="D59" s="65">
        <f t="shared" si="17"/>
        <v>1.1375202830920663</v>
      </c>
      <c r="E59" s="64">
        <f t="shared" si="18"/>
        <v>3.8246062106450589</v>
      </c>
      <c r="F59" s="66">
        <f t="shared" si="19"/>
        <v>1.1056670357605329</v>
      </c>
      <c r="G59" s="65">
        <f t="shared" si="20"/>
        <v>0.47864373842447311</v>
      </c>
      <c r="H59" s="64">
        <f t="shared" si="21"/>
        <v>2.6805597943150721</v>
      </c>
      <c r="I59" s="66">
        <f t="shared" si="22"/>
        <v>0.38381518713251223</v>
      </c>
      <c r="J59" s="65">
        <f t="shared" si="23"/>
        <v>0.16615376066342522</v>
      </c>
      <c r="K59" s="64">
        <f t="shared" si="24"/>
        <v>1.7360289717631028</v>
      </c>
      <c r="L59" s="66">
        <f t="shared" si="25"/>
        <v>0.10215378305605959</v>
      </c>
      <c r="M59" s="65">
        <f t="shared" si="26"/>
        <v>4.4222416907385098E-2</v>
      </c>
      <c r="N59" s="64">
        <f t="shared" si="27"/>
        <v>1.0081383553050665</v>
      </c>
      <c r="O59" s="66"/>
      <c r="P59" s="65"/>
      <c r="Q59" s="64"/>
    </row>
    <row r="60" spans="1:17" ht="13.5" thickBot="1" x14ac:dyDescent="0.25">
      <c r="A60" s="87">
        <f t="shared" si="15"/>
        <v>2700</v>
      </c>
      <c r="B60" s="86">
        <v>45</v>
      </c>
      <c r="C60" s="82">
        <f t="shared" si="16"/>
        <v>3.2681772367639632</v>
      </c>
      <c r="D60" s="81">
        <f t="shared" si="17"/>
        <v>1.4147953405904603</v>
      </c>
      <c r="E60" s="80">
        <f t="shared" si="18"/>
        <v>4.3026819869756912</v>
      </c>
      <c r="F60" s="82">
        <f t="shared" si="19"/>
        <v>1.3751777385334414</v>
      </c>
      <c r="G60" s="81">
        <f t="shared" si="20"/>
        <v>0.59531503832616506</v>
      </c>
      <c r="H60" s="80">
        <f t="shared" si="21"/>
        <v>3.0156297686044562</v>
      </c>
      <c r="I60" s="82">
        <f t="shared" si="22"/>
        <v>0.47737165347669147</v>
      </c>
      <c r="J60" s="81">
        <f t="shared" si="23"/>
        <v>0.20665439544445519</v>
      </c>
      <c r="K60" s="80">
        <f t="shared" si="24"/>
        <v>1.9530325932334904</v>
      </c>
      <c r="L60" s="82">
        <f t="shared" si="25"/>
        <v>0.12705417076040337</v>
      </c>
      <c r="M60" s="81">
        <f t="shared" si="26"/>
        <v>5.5001805523984142E-2</v>
      </c>
      <c r="N60" s="80">
        <f t="shared" si="27"/>
        <v>1.1341556497181997</v>
      </c>
      <c r="O60" s="82"/>
      <c r="P60" s="81"/>
      <c r="Q60" s="80"/>
    </row>
    <row r="61" spans="1:17" x14ac:dyDescent="0.2">
      <c r="A61" s="79">
        <f t="shared" si="15"/>
        <v>3000</v>
      </c>
      <c r="B61" s="71">
        <v>50</v>
      </c>
      <c r="C61" s="75">
        <f t="shared" si="16"/>
        <v>3.9723588401678911</v>
      </c>
      <c r="D61" s="74">
        <f t="shared" si="17"/>
        <v>1.7196358615445415</v>
      </c>
      <c r="E61" s="73">
        <f t="shared" si="18"/>
        <v>4.7807577633063234</v>
      </c>
      <c r="F61" s="75">
        <f t="shared" si="19"/>
        <v>1.6714820068554122</v>
      </c>
      <c r="G61" s="74">
        <f t="shared" si="20"/>
        <v>0.7235852843529923</v>
      </c>
      <c r="H61" s="73">
        <f t="shared" si="21"/>
        <v>3.3506997428938394</v>
      </c>
      <c r="I61" s="75">
        <f t="shared" si="22"/>
        <v>0.58022909112828325</v>
      </c>
      <c r="J61" s="74">
        <f t="shared" si="23"/>
        <v>0.25118142473085853</v>
      </c>
      <c r="K61" s="73">
        <f t="shared" si="24"/>
        <v>2.1700362147038779</v>
      </c>
      <c r="L61" s="75">
        <f t="shared" si="25"/>
        <v>0.154430045201597</v>
      </c>
      <c r="M61" s="74">
        <f t="shared" si="26"/>
        <v>6.685283342060476E-2</v>
      </c>
      <c r="N61" s="73">
        <f t="shared" si="27"/>
        <v>1.260172944131333</v>
      </c>
      <c r="O61" s="75"/>
      <c r="P61" s="74"/>
      <c r="Q61" s="73"/>
    </row>
    <row r="62" spans="1:17" x14ac:dyDescent="0.2">
      <c r="A62" s="72">
        <f t="shared" si="15"/>
        <v>3600</v>
      </c>
      <c r="B62" s="71">
        <v>60</v>
      </c>
      <c r="C62" s="69">
        <f t="shared" si="16"/>
        <v>5.5679091571040384</v>
      </c>
      <c r="D62" s="68">
        <f t="shared" si="17"/>
        <v>2.4103502844606228</v>
      </c>
      <c r="E62" s="67">
        <f t="shared" si="18"/>
        <v>5.7369093159675888</v>
      </c>
      <c r="F62" s="66">
        <f t="shared" si="19"/>
        <v>2.3428547989666364</v>
      </c>
      <c r="G62" s="65">
        <f t="shared" si="20"/>
        <v>1.0142228566955136</v>
      </c>
      <c r="H62" s="64">
        <f t="shared" si="21"/>
        <v>4.0208396914726086</v>
      </c>
      <c r="I62" s="66">
        <f t="shared" si="22"/>
        <v>0.81328575783319179</v>
      </c>
      <c r="J62" s="65">
        <f t="shared" si="23"/>
        <v>0.35207175663774537</v>
      </c>
      <c r="K62" s="64">
        <f t="shared" si="24"/>
        <v>2.6040434576446541</v>
      </c>
      <c r="L62" s="66">
        <f t="shared" si="25"/>
        <v>0.21645890953135064</v>
      </c>
      <c r="M62" s="65">
        <f t="shared" si="26"/>
        <v>9.3705155641277335E-2</v>
      </c>
      <c r="N62" s="64">
        <f t="shared" si="27"/>
        <v>1.5122075329575999</v>
      </c>
      <c r="O62" s="66"/>
      <c r="P62" s="65"/>
      <c r="Q62" s="64"/>
    </row>
    <row r="63" spans="1:17" ht="13.5" thickBot="1" x14ac:dyDescent="0.25">
      <c r="A63" s="63">
        <f t="shared" si="15"/>
        <v>4200</v>
      </c>
      <c r="B63" s="62">
        <v>70</v>
      </c>
      <c r="C63" s="60">
        <f t="shared" si="16"/>
        <v>7.4076012337959822</v>
      </c>
      <c r="D63" s="59">
        <f t="shared" si="17"/>
        <v>3.2067537808640614</v>
      </c>
      <c r="E63" s="58">
        <f t="shared" si="18"/>
        <v>6.6930608686288524</v>
      </c>
      <c r="F63" s="57">
        <f t="shared" si="19"/>
        <v>3.1169571215591958</v>
      </c>
      <c r="G63" s="56">
        <f t="shared" si="20"/>
        <v>1.3493320872550632</v>
      </c>
      <c r="H63" s="55">
        <f t="shared" si="21"/>
        <v>4.6909796400513759</v>
      </c>
      <c r="I63" s="57">
        <f t="shared" si="22"/>
        <v>1.082003389991961</v>
      </c>
      <c r="J63" s="56">
        <f t="shared" si="23"/>
        <v>0.46839973592725581</v>
      </c>
      <c r="K63" s="55">
        <f t="shared" si="24"/>
        <v>3.0380507005854294</v>
      </c>
      <c r="L63" s="57">
        <f t="shared" si="25"/>
        <v>0.28797906719881583</v>
      </c>
      <c r="M63" s="56">
        <f t="shared" si="26"/>
        <v>0.12466626285663022</v>
      </c>
      <c r="N63" s="55">
        <f t="shared" si="27"/>
        <v>1.7642421217838662</v>
      </c>
      <c r="O63" s="57"/>
      <c r="P63" s="56"/>
      <c r="Q63" s="55"/>
    </row>
    <row r="64" spans="1:17" x14ac:dyDescent="0.2">
      <c r="A64" s="96">
        <f t="shared" si="15"/>
        <v>4800</v>
      </c>
      <c r="B64" s="95">
        <v>80</v>
      </c>
      <c r="C64" s="94">
        <f t="shared" si="16"/>
        <v>9.4859030388632597</v>
      </c>
      <c r="D64" s="93">
        <f t="shared" si="17"/>
        <v>4.1064515319754369</v>
      </c>
      <c r="E64" s="92">
        <f t="shared" si="18"/>
        <v>7.6492124212901178</v>
      </c>
      <c r="F64" s="94">
        <f t="shared" si="19"/>
        <v>3.9914612164204391</v>
      </c>
      <c r="G64" s="93">
        <f t="shared" si="20"/>
        <v>1.7279052884936965</v>
      </c>
      <c r="H64" s="92">
        <f t="shared" si="21"/>
        <v>5.3611195886301442</v>
      </c>
      <c r="I64" s="91">
        <f t="shared" si="22"/>
        <v>1.3855739423928841</v>
      </c>
      <c r="J64" s="90">
        <f t="shared" si="23"/>
        <v>0.59981555947743903</v>
      </c>
      <c r="K64" s="89">
        <f t="shared" si="24"/>
        <v>3.4720579435262056</v>
      </c>
      <c r="L64" s="91">
        <f t="shared" si="25"/>
        <v>0.36877545408453216</v>
      </c>
      <c r="M64" s="90">
        <f t="shared" si="26"/>
        <v>0.15964305371624768</v>
      </c>
      <c r="N64" s="89">
        <f t="shared" si="27"/>
        <v>2.0162767106101329</v>
      </c>
      <c r="O64" s="91"/>
      <c r="P64" s="90"/>
      <c r="Q64" s="89"/>
    </row>
    <row r="65" spans="1:19" x14ac:dyDescent="0.2">
      <c r="A65" s="72">
        <f t="shared" si="15"/>
        <v>5400</v>
      </c>
      <c r="B65" s="88">
        <v>90</v>
      </c>
      <c r="C65" s="69">
        <f t="shared" si="16"/>
        <v>11.798129334622523</v>
      </c>
      <c r="D65" s="68">
        <f t="shared" si="17"/>
        <v>5.1074152963733868</v>
      </c>
      <c r="E65" s="67">
        <f t="shared" si="18"/>
        <v>8.6053639739513823</v>
      </c>
      <c r="F65" s="69">
        <f t="shared" si="19"/>
        <v>4.9643956376662812</v>
      </c>
      <c r="G65" s="68">
        <f t="shared" si="20"/>
        <v>2.1490890206347539</v>
      </c>
      <c r="H65" s="67">
        <f t="shared" si="21"/>
        <v>6.0312595372089124</v>
      </c>
      <c r="I65" s="66">
        <f t="shared" si="22"/>
        <v>1.7233130581306284</v>
      </c>
      <c r="J65" s="65">
        <f t="shared" si="23"/>
        <v>0.74602296888771791</v>
      </c>
      <c r="K65" s="64">
        <f t="shared" si="24"/>
        <v>3.9060651864669809</v>
      </c>
      <c r="L65" s="66">
        <f t="shared" si="25"/>
        <v>0.45866592615359941</v>
      </c>
      <c r="M65" s="65">
        <f t="shared" si="26"/>
        <v>0.19855667798857116</v>
      </c>
      <c r="N65" s="64">
        <f t="shared" si="27"/>
        <v>2.2683112994363994</v>
      </c>
      <c r="O65" s="66">
        <f t="shared" ref="O65:O70" si="28">10.44*($B28/150)^1.852*$L$102^(-4.871)*100</f>
        <v>6.2325785723108408E-2</v>
      </c>
      <c r="P65" s="65">
        <f t="shared" ref="P65:P70" si="29">O65/2.31</f>
        <v>2.698085962039325E-2</v>
      </c>
      <c r="Q65" s="64">
        <f t="shared" ref="Q65:Q70" si="30">$B28/7.48/60/(3.14168*($L$102/12/2)^2)</f>
        <v>0.99951332180312513</v>
      </c>
    </row>
    <row r="66" spans="1:19" ht="13.5" thickBot="1" x14ac:dyDescent="0.25">
      <c r="A66" s="87">
        <f t="shared" si="15"/>
        <v>6000</v>
      </c>
      <c r="B66" s="86">
        <v>100</v>
      </c>
      <c r="C66" s="85">
        <f t="shared" si="16"/>
        <v>14.340226971973349</v>
      </c>
      <c r="D66" s="84">
        <f t="shared" si="17"/>
        <v>6.2078904640577264</v>
      </c>
      <c r="E66" s="83">
        <f t="shared" si="18"/>
        <v>9.5615155266126468</v>
      </c>
      <c r="F66" s="85">
        <f t="shared" si="19"/>
        <v>6.0340549085094892</v>
      </c>
      <c r="G66" s="84">
        <f t="shared" si="20"/>
        <v>2.6121449820387399</v>
      </c>
      <c r="H66" s="83">
        <f t="shared" si="21"/>
        <v>6.7013994857876789</v>
      </c>
      <c r="I66" s="82">
        <f t="shared" si="22"/>
        <v>2.0946287073525616</v>
      </c>
      <c r="J66" s="81">
        <f t="shared" si="23"/>
        <v>0.9067656741785981</v>
      </c>
      <c r="K66" s="80">
        <f t="shared" si="24"/>
        <v>4.3400724294077557</v>
      </c>
      <c r="L66" s="82">
        <f t="shared" si="25"/>
        <v>0.55749291254598909</v>
      </c>
      <c r="M66" s="81">
        <f t="shared" si="26"/>
        <v>0.24133892318008185</v>
      </c>
      <c r="N66" s="80">
        <f t="shared" si="27"/>
        <v>2.5203458882626659</v>
      </c>
      <c r="O66" s="82">
        <f t="shared" si="28"/>
        <v>7.5754883518112104E-2</v>
      </c>
      <c r="P66" s="81">
        <f t="shared" si="29"/>
        <v>3.2794321869312595E-2</v>
      </c>
      <c r="Q66" s="80">
        <f t="shared" si="30"/>
        <v>1.1105703575590278</v>
      </c>
    </row>
    <row r="67" spans="1:19" x14ac:dyDescent="0.2">
      <c r="A67" s="79">
        <f t="shared" si="15"/>
        <v>7500</v>
      </c>
      <c r="B67" s="71">
        <v>125</v>
      </c>
      <c r="C67" s="75"/>
      <c r="D67" s="74"/>
      <c r="E67" s="73"/>
      <c r="F67" s="78">
        <f t="shared" si="19"/>
        <v>9.1219272002747829</v>
      </c>
      <c r="G67" s="77">
        <f t="shared" si="20"/>
        <v>3.9488862338851871</v>
      </c>
      <c r="H67" s="76">
        <f t="shared" si="21"/>
        <v>8.3767493572345995</v>
      </c>
      <c r="I67" s="78">
        <f t="shared" si="22"/>
        <v>3.1665357491411181</v>
      </c>
      <c r="J67" s="77">
        <f t="shared" si="23"/>
        <v>1.3707946965978866</v>
      </c>
      <c r="K67" s="76">
        <f t="shared" si="24"/>
        <v>5.4250905367596953</v>
      </c>
      <c r="L67" s="75">
        <f t="shared" si="25"/>
        <v>0.84278480060597394</v>
      </c>
      <c r="M67" s="74">
        <f t="shared" si="26"/>
        <v>0.36484190502423114</v>
      </c>
      <c r="N67" s="73">
        <f t="shared" si="27"/>
        <v>3.1504323603283328</v>
      </c>
      <c r="O67" s="75">
        <f t="shared" si="28"/>
        <v>0.11452175079530566</v>
      </c>
      <c r="P67" s="74">
        <f t="shared" si="29"/>
        <v>4.9576515495803317E-2</v>
      </c>
      <c r="Q67" s="73">
        <f t="shared" si="30"/>
        <v>1.3882129469487849</v>
      </c>
    </row>
    <row r="68" spans="1:19" x14ac:dyDescent="0.2">
      <c r="A68" s="72">
        <f t="shared" si="15"/>
        <v>9000</v>
      </c>
      <c r="B68" s="71">
        <v>150</v>
      </c>
      <c r="C68" s="66"/>
      <c r="D68" s="70"/>
      <c r="E68" s="64"/>
      <c r="F68" s="69">
        <f t="shared" si="19"/>
        <v>12.785869563259222</v>
      </c>
      <c r="G68" s="68">
        <f t="shared" si="20"/>
        <v>5.5350084689433858</v>
      </c>
      <c r="H68" s="67">
        <f t="shared" si="21"/>
        <v>10.052099228681518</v>
      </c>
      <c r="I68" s="69">
        <f t="shared" si="22"/>
        <v>4.4384165941048144</v>
      </c>
      <c r="J68" s="68">
        <f t="shared" si="23"/>
        <v>1.921392464980439</v>
      </c>
      <c r="K68" s="67">
        <f t="shared" si="24"/>
        <v>6.510108644111634</v>
      </c>
      <c r="L68" s="66">
        <f t="shared" si="25"/>
        <v>1.1813004306941646</v>
      </c>
      <c r="M68" s="65">
        <f t="shared" si="26"/>
        <v>0.51138546783297167</v>
      </c>
      <c r="N68" s="64">
        <f t="shared" si="27"/>
        <v>3.7805188323939989</v>
      </c>
      <c r="O68" s="66">
        <f t="shared" si="28"/>
        <v>0.16052092235298129</v>
      </c>
      <c r="P68" s="65">
        <f t="shared" si="29"/>
        <v>6.948957677618238E-2</v>
      </c>
      <c r="Q68" s="64">
        <f t="shared" si="30"/>
        <v>1.6658555363385417</v>
      </c>
    </row>
    <row r="69" spans="1:19" ht="13.5" thickBot="1" x14ac:dyDescent="0.25">
      <c r="A69" s="63">
        <f t="shared" si="15"/>
        <v>10500</v>
      </c>
      <c r="B69" s="62">
        <v>175</v>
      </c>
      <c r="C69" s="57"/>
      <c r="D69" s="61"/>
      <c r="E69" s="55"/>
      <c r="F69" s="57"/>
      <c r="G69" s="61"/>
      <c r="H69" s="55"/>
      <c r="I69" s="60">
        <f t="shared" si="22"/>
        <v>5.9049131928890493</v>
      </c>
      <c r="J69" s="59">
        <f t="shared" si="23"/>
        <v>2.5562394774411468</v>
      </c>
      <c r="K69" s="58">
        <f t="shared" si="24"/>
        <v>7.5951267514635736</v>
      </c>
      <c r="L69" s="57">
        <f t="shared" si="25"/>
        <v>1.5716137388357019</v>
      </c>
      <c r="M69" s="56">
        <f t="shared" si="26"/>
        <v>0.68035226789424319</v>
      </c>
      <c r="N69" s="55">
        <f t="shared" si="27"/>
        <v>4.4106053044596658</v>
      </c>
      <c r="O69" s="57">
        <f t="shared" si="28"/>
        <v>0.21355861759254544</v>
      </c>
      <c r="P69" s="56">
        <f t="shared" si="29"/>
        <v>9.2449618005430917E-2</v>
      </c>
      <c r="Q69" s="55">
        <f t="shared" si="30"/>
        <v>1.9434981257282988</v>
      </c>
    </row>
    <row r="70" spans="1:19" ht="13.5" thickBot="1" x14ac:dyDescent="0.25">
      <c r="A70" s="54">
        <f t="shared" si="15"/>
        <v>12000</v>
      </c>
      <c r="B70" s="53">
        <v>200</v>
      </c>
      <c r="C70" s="48"/>
      <c r="D70" s="52"/>
      <c r="E70" s="46"/>
      <c r="F70" s="48"/>
      <c r="G70" s="52"/>
      <c r="H70" s="46"/>
      <c r="I70" s="51">
        <f t="shared" si="22"/>
        <v>7.5616157285975056</v>
      </c>
      <c r="J70" s="50">
        <f t="shared" si="23"/>
        <v>3.2734267223365823</v>
      </c>
      <c r="K70" s="49">
        <f t="shared" si="24"/>
        <v>8.6801448588155115</v>
      </c>
      <c r="L70" s="51">
        <f t="shared" si="25"/>
        <v>2.0125510365116162</v>
      </c>
      <c r="M70" s="50">
        <f t="shared" si="26"/>
        <v>0.87123421494009357</v>
      </c>
      <c r="N70" s="49">
        <f t="shared" si="27"/>
        <v>5.0406917765253318</v>
      </c>
      <c r="O70" s="48">
        <f t="shared" si="28"/>
        <v>0.27347534993571132</v>
      </c>
      <c r="P70" s="47">
        <f t="shared" si="29"/>
        <v>0.1183875973747668</v>
      </c>
      <c r="Q70" s="46">
        <f t="shared" si="30"/>
        <v>2.2211407151180556</v>
      </c>
    </row>
    <row r="71" spans="1:19" ht="14.25" x14ac:dyDescent="0.2">
      <c r="A71" s="45"/>
      <c r="B71" s="44" t="s">
        <v>108</v>
      </c>
      <c r="J71" t="s">
        <v>107</v>
      </c>
      <c r="N71" t="s">
        <v>106</v>
      </c>
    </row>
    <row r="72" spans="1:19" x14ac:dyDescent="0.2">
      <c r="A72" s="45"/>
      <c r="B72" s="44" t="s">
        <v>105</v>
      </c>
      <c r="N72" t="s">
        <v>104</v>
      </c>
    </row>
    <row r="73" spans="1:19" x14ac:dyDescent="0.2">
      <c r="A73" s="45"/>
      <c r="B73" s="9"/>
      <c r="C73" s="44"/>
      <c r="N73" t="s">
        <v>223</v>
      </c>
    </row>
    <row r="74" spans="1:19" x14ac:dyDescent="0.2">
      <c r="A74" s="45"/>
      <c r="B74" s="9"/>
      <c r="C74" s="44"/>
      <c r="N74" t="s">
        <v>95</v>
      </c>
    </row>
    <row r="75" spans="1:19" x14ac:dyDescent="0.2">
      <c r="A75" s="45"/>
      <c r="B75" s="9"/>
      <c r="C75" s="44"/>
      <c r="N75" t="s">
        <v>131</v>
      </c>
    </row>
    <row r="76" spans="1:19" x14ac:dyDescent="0.2">
      <c r="B76" s="9"/>
    </row>
    <row r="77" spans="1:19" x14ac:dyDescent="0.2">
      <c r="B77" s="9" t="s">
        <v>133</v>
      </c>
    </row>
    <row r="78" spans="1:19" ht="18" x14ac:dyDescent="0.25">
      <c r="A78" s="42"/>
      <c r="B78" s="43" t="s">
        <v>125</v>
      </c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spans="1:19" ht="13.5" thickBot="1" x14ac:dyDescent="0.25">
      <c r="A79" s="42"/>
      <c r="B79" s="127" t="s">
        <v>124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spans="1:19" x14ac:dyDescent="0.2">
      <c r="A80" s="302" t="s">
        <v>123</v>
      </c>
      <c r="B80" s="303"/>
      <c r="C80" s="259"/>
      <c r="D80" s="26"/>
      <c r="E80" s="26"/>
      <c r="F80" s="26"/>
      <c r="G80" s="26" t="s">
        <v>122</v>
      </c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126"/>
    </row>
    <row r="81" spans="1:19" ht="13.5" thickBot="1" x14ac:dyDescent="0.25">
      <c r="A81" s="125" t="s">
        <v>16</v>
      </c>
      <c r="B81" s="258" t="s">
        <v>110</v>
      </c>
      <c r="C81" s="260">
        <v>0.125</v>
      </c>
      <c r="D81" s="124">
        <v>0.15625</v>
      </c>
      <c r="E81" s="124">
        <v>0.1875</v>
      </c>
      <c r="F81" s="124">
        <v>0.21875</v>
      </c>
      <c r="G81" s="124">
        <v>0.25</v>
      </c>
      <c r="H81" s="124">
        <v>0.28125</v>
      </c>
      <c r="I81" s="124">
        <v>0.3125</v>
      </c>
      <c r="J81" s="124">
        <v>0.34375</v>
      </c>
      <c r="K81" s="123">
        <v>0.375</v>
      </c>
      <c r="L81" s="123">
        <v>0.40625</v>
      </c>
      <c r="M81" s="123">
        <v>0.4375</v>
      </c>
      <c r="N81" s="123">
        <v>0.46875</v>
      </c>
      <c r="O81" s="128">
        <v>0.5</v>
      </c>
      <c r="P81" s="123">
        <v>0.5625</v>
      </c>
      <c r="Q81" s="123">
        <v>0.625</v>
      </c>
      <c r="R81" s="123">
        <v>0.6875</v>
      </c>
      <c r="S81" s="122">
        <v>0.75</v>
      </c>
    </row>
    <row r="82" spans="1:19" x14ac:dyDescent="0.2">
      <c r="A82" s="96">
        <v>1</v>
      </c>
      <c r="B82" s="247">
        <f t="shared" ref="B82:B90" si="31">A82/2.31</f>
        <v>0.4329004329004329</v>
      </c>
      <c r="C82" s="250">
        <f>11.79*C$81^2*SQRT($A82)</f>
        <v>0.18421874999999999</v>
      </c>
      <c r="D82" s="121">
        <f t="shared" ref="D82:S90" si="32">11.79*D$81^2*SQRT($A82)</f>
        <v>0.287841796875</v>
      </c>
      <c r="E82" s="121">
        <f t="shared" si="32"/>
        <v>0.41449218749999994</v>
      </c>
      <c r="F82" s="121">
        <f t="shared" si="32"/>
        <v>0.56416992187499992</v>
      </c>
      <c r="G82" s="121">
        <f t="shared" si="32"/>
        <v>0.73687499999999995</v>
      </c>
      <c r="H82" s="121">
        <f t="shared" si="32"/>
        <v>0.9326074218749999</v>
      </c>
      <c r="I82" s="121">
        <f t="shared" si="32"/>
        <v>1.1513671875</v>
      </c>
      <c r="J82" s="121">
        <f t="shared" si="32"/>
        <v>1.3931542968749999</v>
      </c>
      <c r="K82" s="121">
        <f t="shared" si="32"/>
        <v>1.6579687499999998</v>
      </c>
      <c r="L82" s="121">
        <f t="shared" si="32"/>
        <v>1.9458105468749998</v>
      </c>
      <c r="M82" s="121">
        <f t="shared" si="32"/>
        <v>2.2566796874999997</v>
      </c>
      <c r="N82" s="121">
        <f t="shared" si="32"/>
        <v>2.590576171875</v>
      </c>
      <c r="O82" s="121">
        <f t="shared" si="32"/>
        <v>2.9474999999999998</v>
      </c>
      <c r="P82" s="121">
        <f t="shared" si="32"/>
        <v>3.7304296874999996</v>
      </c>
      <c r="Q82" s="121">
        <f t="shared" si="32"/>
        <v>4.60546875</v>
      </c>
      <c r="R82" s="121">
        <f t="shared" si="32"/>
        <v>5.5726171874999997</v>
      </c>
      <c r="S82" s="251">
        <f t="shared" si="32"/>
        <v>6.6318749999999991</v>
      </c>
    </row>
    <row r="83" spans="1:19" x14ac:dyDescent="0.2">
      <c r="A83" s="72">
        <f t="shared" ref="A83:A90" si="33">A82+0.5</f>
        <v>1.5</v>
      </c>
      <c r="B83" s="248">
        <f t="shared" si="31"/>
        <v>0.64935064935064934</v>
      </c>
      <c r="C83" s="252">
        <f t="shared" ref="C83:C90" si="34">11.79*C$81^2*SQRT($A83)</f>
        <v>0.22562096927666925</v>
      </c>
      <c r="D83" s="253">
        <f t="shared" si="32"/>
        <v>0.35253276449479576</v>
      </c>
      <c r="E83" s="253">
        <f t="shared" si="32"/>
        <v>0.50764718087250582</v>
      </c>
      <c r="F83" s="253">
        <f t="shared" si="32"/>
        <v>0.6909642184097996</v>
      </c>
      <c r="G83" s="253">
        <f t="shared" si="32"/>
        <v>0.90248387710667699</v>
      </c>
      <c r="H83" s="253">
        <f t="shared" si="32"/>
        <v>1.1422061569631381</v>
      </c>
      <c r="I83" s="253">
        <f t="shared" si="32"/>
        <v>1.410131057979183</v>
      </c>
      <c r="J83" s="253">
        <f t="shared" si="32"/>
        <v>1.7062585801548114</v>
      </c>
      <c r="K83" s="253">
        <f t="shared" si="32"/>
        <v>2.0305887234900233</v>
      </c>
      <c r="L83" s="253">
        <f t="shared" si="32"/>
        <v>2.3831214879848188</v>
      </c>
      <c r="M83" s="253">
        <f t="shared" si="32"/>
        <v>2.7638568736391984</v>
      </c>
      <c r="N83" s="253">
        <f t="shared" si="32"/>
        <v>3.1727948804531616</v>
      </c>
      <c r="O83" s="253">
        <f t="shared" si="32"/>
        <v>3.609935508426708</v>
      </c>
      <c r="P83" s="253">
        <f t="shared" si="32"/>
        <v>4.5688246278525524</v>
      </c>
      <c r="Q83" s="253">
        <f t="shared" si="32"/>
        <v>5.6405242319167321</v>
      </c>
      <c r="R83" s="253">
        <f t="shared" si="32"/>
        <v>6.8250343206192454</v>
      </c>
      <c r="S83" s="254">
        <f t="shared" si="32"/>
        <v>8.1223548939600931</v>
      </c>
    </row>
    <row r="84" spans="1:19" x14ac:dyDescent="0.2">
      <c r="A84" s="72">
        <f t="shared" si="33"/>
        <v>2</v>
      </c>
      <c r="B84" s="248">
        <f t="shared" si="31"/>
        <v>0.86580086580086579</v>
      </c>
      <c r="C84" s="252">
        <f t="shared" si="34"/>
        <v>0.26052465469341862</v>
      </c>
      <c r="D84" s="253">
        <f t="shared" si="32"/>
        <v>0.40706977295846658</v>
      </c>
      <c r="E84" s="253">
        <f t="shared" si="32"/>
        <v>0.58618047306019183</v>
      </c>
      <c r="F84" s="253">
        <f t="shared" si="32"/>
        <v>0.79785675499859443</v>
      </c>
      <c r="G84" s="253">
        <f t="shared" si="32"/>
        <v>1.0420986187736745</v>
      </c>
      <c r="H84" s="253">
        <f t="shared" si="32"/>
        <v>1.3189060643854316</v>
      </c>
      <c r="I84" s="253">
        <f t="shared" si="32"/>
        <v>1.6282790918338663</v>
      </c>
      <c r="J84" s="253">
        <f t="shared" si="32"/>
        <v>1.9702177011189783</v>
      </c>
      <c r="K84" s="253">
        <f t="shared" si="32"/>
        <v>2.3447218922407673</v>
      </c>
      <c r="L84" s="253">
        <f t="shared" si="32"/>
        <v>2.7517916651992338</v>
      </c>
      <c r="M84" s="253">
        <f t="shared" si="32"/>
        <v>3.1914270199943777</v>
      </c>
      <c r="N84" s="253">
        <f t="shared" si="32"/>
        <v>3.6636279566261996</v>
      </c>
      <c r="O84" s="253">
        <f t="shared" si="32"/>
        <v>4.168394475094698</v>
      </c>
      <c r="P84" s="253">
        <f t="shared" si="32"/>
        <v>5.2756242575417263</v>
      </c>
      <c r="Q84" s="253">
        <f t="shared" si="32"/>
        <v>6.5131163673354653</v>
      </c>
      <c r="R84" s="253">
        <f t="shared" si="32"/>
        <v>7.8808708044759133</v>
      </c>
      <c r="S84" s="254">
        <f t="shared" si="32"/>
        <v>9.3788875689630693</v>
      </c>
    </row>
    <row r="85" spans="1:19" x14ac:dyDescent="0.2">
      <c r="A85" s="72">
        <f t="shared" si="33"/>
        <v>2.5</v>
      </c>
      <c r="B85" s="248">
        <f t="shared" si="31"/>
        <v>1.0822510822510822</v>
      </c>
      <c r="C85" s="252">
        <f t="shared" si="34"/>
        <v>0.29127541885457181</v>
      </c>
      <c r="D85" s="253">
        <f t="shared" si="32"/>
        <v>0.4551178419602685</v>
      </c>
      <c r="E85" s="253">
        <f t="shared" si="32"/>
        <v>0.65536969242278653</v>
      </c>
      <c r="F85" s="253">
        <f t="shared" si="32"/>
        <v>0.89203097024212608</v>
      </c>
      <c r="G85" s="253">
        <f t="shared" si="32"/>
        <v>1.1651016754182872</v>
      </c>
      <c r="H85" s="253">
        <f t="shared" si="32"/>
        <v>1.4745818079512698</v>
      </c>
      <c r="I85" s="253">
        <f t="shared" si="32"/>
        <v>1.820471367841074</v>
      </c>
      <c r="J85" s="253">
        <f t="shared" si="32"/>
        <v>2.2027703550876994</v>
      </c>
      <c r="K85" s="253">
        <f t="shared" si="32"/>
        <v>2.6214787696911461</v>
      </c>
      <c r="L85" s="253">
        <f t="shared" si="32"/>
        <v>3.0765966116514147</v>
      </c>
      <c r="M85" s="253">
        <f t="shared" si="32"/>
        <v>3.5681238809685043</v>
      </c>
      <c r="N85" s="253">
        <f t="shared" si="32"/>
        <v>4.0960605776424162</v>
      </c>
      <c r="O85" s="253">
        <f t="shared" si="32"/>
        <v>4.660406701673149</v>
      </c>
      <c r="P85" s="253">
        <f t="shared" si="32"/>
        <v>5.8983272318050792</v>
      </c>
      <c r="Q85" s="253">
        <f t="shared" si="32"/>
        <v>7.281885471364296</v>
      </c>
      <c r="R85" s="253">
        <f t="shared" si="32"/>
        <v>8.8110814203507974</v>
      </c>
      <c r="S85" s="254">
        <f t="shared" si="32"/>
        <v>10.485915078764585</v>
      </c>
    </row>
    <row r="86" spans="1:19" x14ac:dyDescent="0.2">
      <c r="A86" s="72">
        <f t="shared" si="33"/>
        <v>3</v>
      </c>
      <c r="B86" s="248">
        <f t="shared" si="31"/>
        <v>1.2987012987012987</v>
      </c>
      <c r="C86" s="252">
        <f t="shared" si="34"/>
        <v>0.31907623470682905</v>
      </c>
      <c r="D86" s="253">
        <f t="shared" si="32"/>
        <v>0.49855661672942048</v>
      </c>
      <c r="E86" s="253">
        <f t="shared" si="32"/>
        <v>0.71792152809036536</v>
      </c>
      <c r="F86" s="253">
        <f t="shared" si="32"/>
        <v>0.97717096878966392</v>
      </c>
      <c r="G86" s="253">
        <f t="shared" si="32"/>
        <v>1.2763049388273162</v>
      </c>
      <c r="H86" s="253">
        <f t="shared" si="32"/>
        <v>1.6153234382033221</v>
      </c>
      <c r="I86" s="253">
        <f t="shared" si="32"/>
        <v>1.9942264669176819</v>
      </c>
      <c r="J86" s="253">
        <f t="shared" si="32"/>
        <v>2.4130140249703951</v>
      </c>
      <c r="K86" s="253">
        <f t="shared" si="32"/>
        <v>2.8716861123614614</v>
      </c>
      <c r="L86" s="253">
        <f t="shared" si="32"/>
        <v>3.3702427290908821</v>
      </c>
      <c r="M86" s="253">
        <f t="shared" si="32"/>
        <v>3.9086838751586557</v>
      </c>
      <c r="N86" s="253">
        <f t="shared" si="32"/>
        <v>4.4870095505647845</v>
      </c>
      <c r="O86" s="253">
        <f t="shared" si="32"/>
        <v>5.1052197553092649</v>
      </c>
      <c r="P86" s="253">
        <f t="shared" si="32"/>
        <v>6.4612937528132885</v>
      </c>
      <c r="Q86" s="253">
        <f t="shared" si="32"/>
        <v>7.9769058676707276</v>
      </c>
      <c r="R86" s="253">
        <f t="shared" si="32"/>
        <v>9.6520560998815803</v>
      </c>
      <c r="S86" s="254">
        <f t="shared" si="32"/>
        <v>11.486744449445846</v>
      </c>
    </row>
    <row r="87" spans="1:19" x14ac:dyDescent="0.2">
      <c r="A87" s="72">
        <f t="shared" si="33"/>
        <v>3.5</v>
      </c>
      <c r="B87" s="248">
        <f t="shared" si="31"/>
        <v>1.5151515151515151</v>
      </c>
      <c r="C87" s="252">
        <f t="shared" si="34"/>
        <v>0.34464172335988097</v>
      </c>
      <c r="D87" s="253">
        <f t="shared" si="32"/>
        <v>0.5385026927498141</v>
      </c>
      <c r="E87" s="253">
        <f t="shared" si="32"/>
        <v>0.7754438775597321</v>
      </c>
      <c r="F87" s="253">
        <f t="shared" si="32"/>
        <v>1.0554652777896354</v>
      </c>
      <c r="G87" s="253">
        <f t="shared" si="32"/>
        <v>1.3785668934395239</v>
      </c>
      <c r="H87" s="253">
        <f t="shared" si="32"/>
        <v>1.7447487245093973</v>
      </c>
      <c r="I87" s="253">
        <f t="shared" si="32"/>
        <v>2.1540107709992564</v>
      </c>
      <c r="J87" s="253">
        <f t="shared" si="32"/>
        <v>2.6063530329090998</v>
      </c>
      <c r="K87" s="253">
        <f t="shared" si="32"/>
        <v>3.1017755102389284</v>
      </c>
      <c r="L87" s="253">
        <f t="shared" si="32"/>
        <v>3.6402782029887426</v>
      </c>
      <c r="M87" s="253">
        <f t="shared" si="32"/>
        <v>4.2218611111585416</v>
      </c>
      <c r="N87" s="253">
        <f t="shared" si="32"/>
        <v>4.8465242347483262</v>
      </c>
      <c r="O87" s="253">
        <f t="shared" si="32"/>
        <v>5.5142675737580955</v>
      </c>
      <c r="P87" s="253">
        <f t="shared" si="32"/>
        <v>6.9789948980375893</v>
      </c>
      <c r="Q87" s="253">
        <f t="shared" si="32"/>
        <v>8.6160430839970257</v>
      </c>
      <c r="R87" s="253">
        <f t="shared" si="32"/>
        <v>10.425412131636399</v>
      </c>
      <c r="S87" s="254">
        <f t="shared" si="32"/>
        <v>12.407102040955714</v>
      </c>
    </row>
    <row r="88" spans="1:19" x14ac:dyDescent="0.2">
      <c r="A88" s="72">
        <f t="shared" si="33"/>
        <v>4</v>
      </c>
      <c r="B88" s="248">
        <f t="shared" si="31"/>
        <v>1.7316017316017316</v>
      </c>
      <c r="C88" s="252">
        <f t="shared" si="34"/>
        <v>0.36843749999999997</v>
      </c>
      <c r="D88" s="253">
        <f t="shared" si="32"/>
        <v>0.57568359375</v>
      </c>
      <c r="E88" s="253">
        <f t="shared" si="32"/>
        <v>0.82898437499999988</v>
      </c>
      <c r="F88" s="253">
        <f t="shared" si="32"/>
        <v>1.1283398437499998</v>
      </c>
      <c r="G88" s="253">
        <f t="shared" si="32"/>
        <v>1.4737499999999999</v>
      </c>
      <c r="H88" s="253">
        <f t="shared" si="32"/>
        <v>1.8652148437499998</v>
      </c>
      <c r="I88" s="253">
        <f t="shared" si="32"/>
        <v>2.302734375</v>
      </c>
      <c r="J88" s="253">
        <f t="shared" si="32"/>
        <v>2.7863085937499998</v>
      </c>
      <c r="K88" s="253">
        <f t="shared" si="32"/>
        <v>3.3159374999999995</v>
      </c>
      <c r="L88" s="253">
        <f t="shared" si="32"/>
        <v>3.8916210937499995</v>
      </c>
      <c r="M88" s="253">
        <f t="shared" si="32"/>
        <v>4.5133593749999994</v>
      </c>
      <c r="N88" s="253">
        <f t="shared" si="32"/>
        <v>5.18115234375</v>
      </c>
      <c r="O88" s="253">
        <f t="shared" si="32"/>
        <v>5.8949999999999996</v>
      </c>
      <c r="P88" s="253">
        <f t="shared" si="32"/>
        <v>7.4608593749999992</v>
      </c>
      <c r="Q88" s="253">
        <f t="shared" si="32"/>
        <v>9.2109375</v>
      </c>
      <c r="R88" s="253">
        <f t="shared" si="32"/>
        <v>11.145234374999999</v>
      </c>
      <c r="S88" s="254">
        <f t="shared" si="32"/>
        <v>13.263749999999998</v>
      </c>
    </row>
    <row r="89" spans="1:19" x14ac:dyDescent="0.2">
      <c r="A89" s="72">
        <f t="shared" si="33"/>
        <v>4.5</v>
      </c>
      <c r="B89" s="248">
        <f t="shared" si="31"/>
        <v>1.948051948051948</v>
      </c>
      <c r="C89" s="252">
        <f t="shared" si="34"/>
        <v>0.39078698204012785</v>
      </c>
      <c r="D89" s="253">
        <f t="shared" si="32"/>
        <v>0.61060465943769981</v>
      </c>
      <c r="E89" s="253">
        <f t="shared" si="32"/>
        <v>0.87927070959028764</v>
      </c>
      <c r="F89" s="253">
        <f t="shared" si="32"/>
        <v>1.1967851324978915</v>
      </c>
      <c r="G89" s="253">
        <f t="shared" si="32"/>
        <v>1.5631479281605114</v>
      </c>
      <c r="H89" s="253">
        <f t="shared" si="32"/>
        <v>1.9783590965781472</v>
      </c>
      <c r="I89" s="253">
        <f t="shared" si="32"/>
        <v>2.4424186377507993</v>
      </c>
      <c r="J89" s="253">
        <f t="shared" si="32"/>
        <v>2.9553265516784668</v>
      </c>
      <c r="K89" s="253">
        <f t="shared" si="32"/>
        <v>3.5170828383611505</v>
      </c>
      <c r="L89" s="253">
        <f t="shared" si="32"/>
        <v>4.12768749779885</v>
      </c>
      <c r="M89" s="253">
        <f t="shared" si="32"/>
        <v>4.7871405299915661</v>
      </c>
      <c r="N89" s="253">
        <f t="shared" si="32"/>
        <v>5.495441934939298</v>
      </c>
      <c r="O89" s="253">
        <f t="shared" si="32"/>
        <v>6.2525917126420456</v>
      </c>
      <c r="P89" s="253">
        <f t="shared" si="32"/>
        <v>7.9134363863125889</v>
      </c>
      <c r="Q89" s="253">
        <f t="shared" si="32"/>
        <v>9.769674551003197</v>
      </c>
      <c r="R89" s="253">
        <f t="shared" si="32"/>
        <v>11.821306206713867</v>
      </c>
      <c r="S89" s="254">
        <f t="shared" si="32"/>
        <v>14.068331353444602</v>
      </c>
    </row>
    <row r="90" spans="1:19" ht="13.5" thickBot="1" x14ac:dyDescent="0.25">
      <c r="A90" s="87">
        <f t="shared" si="33"/>
        <v>5</v>
      </c>
      <c r="B90" s="249">
        <f t="shared" si="31"/>
        <v>2.1645021645021645</v>
      </c>
      <c r="C90" s="255">
        <f t="shared" si="34"/>
        <v>0.41192564773003937</v>
      </c>
      <c r="D90" s="256">
        <f t="shared" si="32"/>
        <v>0.64363382457818652</v>
      </c>
      <c r="E90" s="256">
        <f t="shared" si="32"/>
        <v>0.9268327073925885</v>
      </c>
      <c r="F90" s="256">
        <f t="shared" si="32"/>
        <v>1.2615222961732455</v>
      </c>
      <c r="G90" s="256">
        <f t="shared" si="32"/>
        <v>1.6477025909201575</v>
      </c>
      <c r="H90" s="256">
        <f t="shared" si="32"/>
        <v>2.0853735916333243</v>
      </c>
      <c r="I90" s="256">
        <f t="shared" si="32"/>
        <v>2.5745352983127461</v>
      </c>
      <c r="J90" s="256">
        <f t="shared" si="32"/>
        <v>3.115187710958423</v>
      </c>
      <c r="K90" s="256">
        <f t="shared" si="32"/>
        <v>3.707330829570354</v>
      </c>
      <c r="L90" s="256">
        <f t="shared" si="32"/>
        <v>4.3509646541485409</v>
      </c>
      <c r="M90" s="256">
        <f t="shared" si="32"/>
        <v>5.0460891846929821</v>
      </c>
      <c r="N90" s="256">
        <f t="shared" si="32"/>
        <v>5.7927044212036787</v>
      </c>
      <c r="O90" s="256">
        <f t="shared" si="32"/>
        <v>6.5908103636806299</v>
      </c>
      <c r="P90" s="256">
        <f t="shared" si="32"/>
        <v>8.341494366533297</v>
      </c>
      <c r="Q90" s="256">
        <f t="shared" si="32"/>
        <v>10.298141193250984</v>
      </c>
      <c r="R90" s="256">
        <f t="shared" si="32"/>
        <v>12.460750843833692</v>
      </c>
      <c r="S90" s="257">
        <f t="shared" si="32"/>
        <v>14.829323318281416</v>
      </c>
    </row>
    <row r="91" spans="1:19" ht="15.75" x14ac:dyDescent="0.2">
      <c r="A91" s="117"/>
      <c r="B91" s="120" t="s">
        <v>121</v>
      </c>
      <c r="C91" s="117"/>
      <c r="D91" s="117"/>
      <c r="E91" s="117"/>
      <c r="F91" s="119" t="s">
        <v>229</v>
      </c>
      <c r="H91" s="117"/>
      <c r="I91" s="119" t="s">
        <v>120</v>
      </c>
      <c r="J91" s="117"/>
      <c r="K91" s="117"/>
      <c r="L91" s="117"/>
      <c r="M91" s="117"/>
    </row>
    <row r="92" spans="1:19" ht="14.25" x14ac:dyDescent="0.2">
      <c r="A92" s="117"/>
      <c r="B92" s="120"/>
      <c r="C92" s="117"/>
      <c r="D92" s="117"/>
      <c r="E92" s="117"/>
      <c r="F92" s="117"/>
      <c r="G92" s="117"/>
      <c r="H92" s="117"/>
      <c r="I92" s="119" t="s">
        <v>119</v>
      </c>
      <c r="J92" s="117"/>
      <c r="K92" s="117"/>
      <c r="L92" s="117"/>
      <c r="M92" s="117"/>
    </row>
    <row r="93" spans="1:19" ht="14.25" x14ac:dyDescent="0.2">
      <c r="A93" s="117"/>
      <c r="B93" s="120"/>
      <c r="C93" s="117"/>
      <c r="D93" s="117"/>
      <c r="E93" s="117"/>
      <c r="F93" s="117"/>
      <c r="G93" s="117"/>
      <c r="H93" s="117"/>
      <c r="I93" s="119" t="s">
        <v>118</v>
      </c>
      <c r="J93" s="117"/>
      <c r="K93" s="117"/>
      <c r="L93" s="117"/>
      <c r="M93" s="117"/>
    </row>
    <row r="94" spans="1:19" x14ac:dyDescent="0.2">
      <c r="B94" s="9" t="s">
        <v>132</v>
      </c>
    </row>
    <row r="95" spans="1:19" ht="20.25" thickBot="1" x14ac:dyDescent="0.4">
      <c r="B95" s="9"/>
      <c r="C95" s="28" t="s">
        <v>224</v>
      </c>
    </row>
    <row r="96" spans="1:19" x14ac:dyDescent="0.2">
      <c r="A96" s="307" t="s">
        <v>94</v>
      </c>
      <c r="B96" s="277"/>
      <c r="C96" s="27"/>
      <c r="D96" s="26"/>
      <c r="E96" s="25"/>
      <c r="F96" s="25"/>
      <c r="G96" s="25"/>
      <c r="H96" s="25"/>
      <c r="I96" s="24"/>
      <c r="J96" s="23"/>
      <c r="K96" s="23"/>
      <c r="L96" s="22"/>
    </row>
    <row r="97" spans="1:14" ht="13.5" thickBot="1" x14ac:dyDescent="0.25">
      <c r="A97" s="308"/>
      <c r="B97" s="301"/>
      <c r="C97" s="21">
        <v>0.5</v>
      </c>
      <c r="D97" s="20">
        <v>0.75</v>
      </c>
      <c r="E97" s="20">
        <v>1</v>
      </c>
      <c r="F97" s="20">
        <v>1.25</v>
      </c>
      <c r="G97" s="20">
        <v>1.5</v>
      </c>
      <c r="H97" s="20">
        <v>2</v>
      </c>
      <c r="I97" s="20">
        <v>2.5</v>
      </c>
      <c r="J97" s="20">
        <v>3</v>
      </c>
      <c r="K97" s="20">
        <v>4</v>
      </c>
      <c r="L97" s="19">
        <v>6</v>
      </c>
      <c r="N97" s="186" t="s">
        <v>144</v>
      </c>
    </row>
    <row r="98" spans="1:14" ht="13.5" thickBot="1" x14ac:dyDescent="0.25">
      <c r="A98" s="275">
        <v>125</v>
      </c>
      <c r="B98" s="276"/>
      <c r="C98" s="18" t="s">
        <v>93</v>
      </c>
      <c r="D98" s="18" t="s">
        <v>93</v>
      </c>
      <c r="E98" s="18" t="s">
        <v>93</v>
      </c>
      <c r="F98" s="17">
        <v>1.548</v>
      </c>
      <c r="G98" s="17">
        <v>1.784</v>
      </c>
      <c r="H98" s="17">
        <v>2.2290000000000001</v>
      </c>
      <c r="I98" s="17" t="s">
        <v>93</v>
      </c>
      <c r="J98" s="17">
        <v>3.2839999999999998</v>
      </c>
      <c r="K98" s="17">
        <v>4.2240000000000002</v>
      </c>
      <c r="L98" s="16">
        <v>6.2169999999999996</v>
      </c>
      <c r="N98" s="186" t="e">
        <f>INDEX(E99:J102,N102,N100)</f>
        <v>#N/A</v>
      </c>
    </row>
    <row r="99" spans="1:14" ht="13.5" thickBot="1" x14ac:dyDescent="0.25">
      <c r="A99" s="305">
        <v>160</v>
      </c>
      <c r="B99" s="306"/>
      <c r="C99" s="18" t="s">
        <v>93</v>
      </c>
      <c r="D99" s="18" t="s">
        <v>93</v>
      </c>
      <c r="E99" s="18" t="s">
        <v>93</v>
      </c>
      <c r="F99" s="14">
        <v>1.532</v>
      </c>
      <c r="G99" s="14">
        <v>1.754</v>
      </c>
      <c r="H99" s="14">
        <v>2.1930000000000001</v>
      </c>
      <c r="I99" s="14">
        <v>2.6549999999999998</v>
      </c>
      <c r="J99" s="14">
        <v>3.23</v>
      </c>
      <c r="K99" s="14">
        <v>4.1539999999999999</v>
      </c>
      <c r="L99" s="13">
        <v>6.1150000000000002</v>
      </c>
      <c r="N99" s="186" t="s">
        <v>145</v>
      </c>
    </row>
    <row r="100" spans="1:14" ht="13.5" thickBot="1" x14ac:dyDescent="0.25">
      <c r="A100" s="300">
        <v>200</v>
      </c>
      <c r="B100" s="304"/>
      <c r="C100" s="18" t="s">
        <v>93</v>
      </c>
      <c r="D100" s="11">
        <v>0.93</v>
      </c>
      <c r="E100" s="11">
        <v>1.1890000000000001</v>
      </c>
      <c r="F100" s="11">
        <v>1.502</v>
      </c>
      <c r="G100" s="11">
        <v>1.72</v>
      </c>
      <c r="H100" s="11">
        <v>2.149</v>
      </c>
      <c r="I100" s="11">
        <v>2.601</v>
      </c>
      <c r="J100" s="11">
        <v>3.1659999999999999</v>
      </c>
      <c r="K100" s="11">
        <v>4.0720000000000001</v>
      </c>
      <c r="L100" s="10">
        <v>5.9930000000000003</v>
      </c>
      <c r="N100" s="186" t="e">
        <f>MATCH(Calculations!E30,$E$97:$J$97,0)</f>
        <v>#N/A</v>
      </c>
    </row>
    <row r="101" spans="1:14" x14ac:dyDescent="0.2">
      <c r="A101" s="275">
        <v>315</v>
      </c>
      <c r="B101" s="276"/>
      <c r="C101" s="18">
        <v>0.71599999999999997</v>
      </c>
      <c r="D101" s="17">
        <v>0.89400000000000002</v>
      </c>
      <c r="E101" s="17">
        <v>1.121</v>
      </c>
      <c r="F101" s="17">
        <v>1.4139999999999999</v>
      </c>
      <c r="G101" s="17">
        <v>1.6180000000000001</v>
      </c>
      <c r="H101" s="17">
        <v>2.0230000000000001</v>
      </c>
      <c r="I101" s="17">
        <v>2.4489999999999998</v>
      </c>
      <c r="J101" s="17">
        <v>2.9620000000000002</v>
      </c>
      <c r="K101" s="17">
        <v>3.8340000000000001</v>
      </c>
      <c r="L101" s="16">
        <v>5.6429999999999998</v>
      </c>
      <c r="N101" s="186" t="s">
        <v>146</v>
      </c>
    </row>
    <row r="102" spans="1:14" x14ac:dyDescent="0.2">
      <c r="A102" s="305">
        <v>40</v>
      </c>
      <c r="B102" s="306"/>
      <c r="C102" s="15">
        <v>0.622</v>
      </c>
      <c r="D102" s="14">
        <v>0.82399999999999995</v>
      </c>
      <c r="E102" s="14">
        <v>1.0489999999999999</v>
      </c>
      <c r="F102" s="14">
        <v>1.38</v>
      </c>
      <c r="G102" s="14">
        <v>1.61</v>
      </c>
      <c r="H102" s="14">
        <v>2.0670000000000002</v>
      </c>
      <c r="I102" s="14">
        <v>2.4689999999999999</v>
      </c>
      <c r="J102" s="14">
        <v>3.0680000000000001</v>
      </c>
      <c r="K102" s="14">
        <v>4.0259999999999998</v>
      </c>
      <c r="L102" s="13">
        <v>6.0650000000000004</v>
      </c>
      <c r="N102" s="186">
        <f>MATCH(Calculations!E31,$A$99:$A$102,0)</f>
        <v>4</v>
      </c>
    </row>
    <row r="103" spans="1:14" ht="13.5" thickBot="1" x14ac:dyDescent="0.25">
      <c r="A103" s="300">
        <v>80</v>
      </c>
      <c r="B103" s="304"/>
      <c r="C103" s="12">
        <v>0.54600000000000004</v>
      </c>
      <c r="D103" s="11">
        <v>0.74199999999999999</v>
      </c>
      <c r="E103" s="11">
        <v>0.95699999999999996</v>
      </c>
      <c r="F103" s="11">
        <v>1.278</v>
      </c>
      <c r="G103" s="11">
        <v>1.5</v>
      </c>
      <c r="H103" s="11">
        <v>1.9390000000000001</v>
      </c>
      <c r="I103" s="11">
        <v>2.323</v>
      </c>
      <c r="J103" s="11">
        <v>2.9</v>
      </c>
      <c r="K103" s="11">
        <v>3.8260000000000001</v>
      </c>
      <c r="L103" s="10">
        <v>5.7610000000000001</v>
      </c>
    </row>
    <row r="104" spans="1:14" x14ac:dyDescent="0.2">
      <c r="A104" s="261"/>
      <c r="B104" s="9"/>
    </row>
    <row r="105" spans="1:14" x14ac:dyDescent="0.2">
      <c r="B105" t="s">
        <v>230</v>
      </c>
    </row>
    <row r="106" spans="1:14" ht="20.25" thickBot="1" x14ac:dyDescent="0.4">
      <c r="C106" s="28" t="s">
        <v>129</v>
      </c>
    </row>
    <row r="107" spans="1:14" ht="12.75" customHeight="1" x14ac:dyDescent="0.2">
      <c r="C107" s="282" t="s">
        <v>126</v>
      </c>
      <c r="D107" s="283"/>
      <c r="E107" s="283"/>
      <c r="F107" s="286" t="s">
        <v>127</v>
      </c>
      <c r="G107" s="287"/>
      <c r="H107" s="288"/>
      <c r="I107" s="287" t="s">
        <v>128</v>
      </c>
      <c r="J107" s="287"/>
      <c r="K107" s="288"/>
    </row>
    <row r="108" spans="1:14" ht="12.75" customHeight="1" thickBot="1" x14ac:dyDescent="0.25">
      <c r="C108" s="284"/>
      <c r="D108" s="285"/>
      <c r="E108" s="285"/>
      <c r="F108" s="289"/>
      <c r="G108" s="290"/>
      <c r="H108" s="291"/>
      <c r="I108" s="290"/>
      <c r="J108" s="290"/>
      <c r="K108" s="291"/>
    </row>
    <row r="109" spans="1:14" x14ac:dyDescent="0.2">
      <c r="C109" s="131"/>
      <c r="D109" s="132">
        <v>1</v>
      </c>
      <c r="E109" s="133"/>
      <c r="F109" s="131"/>
      <c r="G109" s="134">
        <f>4.89*$E$102^2</f>
        <v>5.3809608899999999</v>
      </c>
      <c r="H109" s="135"/>
      <c r="I109" s="133"/>
      <c r="J109" s="134">
        <f>12.24*$E$102^2</f>
        <v>13.468908239999999</v>
      </c>
      <c r="K109" s="135"/>
    </row>
    <row r="110" spans="1:14" x14ac:dyDescent="0.2">
      <c r="C110" s="141"/>
      <c r="D110" s="6">
        <v>1.25</v>
      </c>
      <c r="E110" s="5"/>
      <c r="F110" s="141"/>
      <c r="G110" s="142">
        <f>4.89*$F$102^2</f>
        <v>9.3125159999999969</v>
      </c>
      <c r="H110" s="143"/>
      <c r="I110" s="5"/>
      <c r="J110" s="142">
        <f>12.24*$F$102^2</f>
        <v>23.309855999999996</v>
      </c>
      <c r="K110" s="143"/>
    </row>
    <row r="111" spans="1:14" ht="13.5" thickBot="1" x14ac:dyDescent="0.25">
      <c r="C111" s="144"/>
      <c r="D111" s="145">
        <v>1.5</v>
      </c>
      <c r="E111" s="146"/>
      <c r="F111" s="144"/>
      <c r="G111" s="147">
        <f>4.89*$G$102^2</f>
        <v>12.675369</v>
      </c>
      <c r="H111" s="148"/>
      <c r="I111" s="146"/>
      <c r="J111" s="147">
        <f>12.24*$G$102^2</f>
        <v>31.727304000000004</v>
      </c>
      <c r="K111" s="148"/>
    </row>
    <row r="112" spans="1:14" x14ac:dyDescent="0.2">
      <c r="C112" s="27"/>
      <c r="D112" s="149">
        <v>2</v>
      </c>
      <c r="E112" s="41"/>
      <c r="F112" s="27"/>
      <c r="G112" s="150">
        <f>4.89*$H$102^2</f>
        <v>20.892471210000004</v>
      </c>
      <c r="H112" s="151"/>
      <c r="I112" s="41"/>
      <c r="J112" s="150">
        <f>12.24*$H$102^2</f>
        <v>52.295265360000016</v>
      </c>
      <c r="K112" s="151"/>
    </row>
    <row r="113" spans="1:12" x14ac:dyDescent="0.2">
      <c r="C113" s="141"/>
      <c r="D113" s="6">
        <v>2.5</v>
      </c>
      <c r="E113" s="5"/>
      <c r="F113" s="141"/>
      <c r="G113" s="142">
        <f>4.89*$I$102^2</f>
        <v>29.809249289999993</v>
      </c>
      <c r="H113" s="143"/>
      <c r="I113" s="5"/>
      <c r="J113" s="142">
        <f>12.24*$I$102^2</f>
        <v>74.614562639999988</v>
      </c>
      <c r="K113" s="143"/>
    </row>
    <row r="114" spans="1:12" ht="13.5" thickBot="1" x14ac:dyDescent="0.25">
      <c r="C114" s="136"/>
      <c r="D114" s="137">
        <v>3</v>
      </c>
      <c r="E114" s="138"/>
      <c r="F114" s="136"/>
      <c r="G114" s="139">
        <f>4.89*$J$102^2</f>
        <v>46.027731360000004</v>
      </c>
      <c r="H114" s="140"/>
      <c r="I114" s="138"/>
      <c r="J114" s="139">
        <f>12.24*$J$102^2</f>
        <v>115.21051776000002</v>
      </c>
      <c r="K114" s="140"/>
    </row>
    <row r="115" spans="1:12" x14ac:dyDescent="0.2">
      <c r="F115" t="s">
        <v>130</v>
      </c>
    </row>
    <row r="116" spans="1:12" x14ac:dyDescent="0.2">
      <c r="B116" s="9" t="s">
        <v>231</v>
      </c>
    </row>
    <row r="117" spans="1:12" ht="18" x14ac:dyDescent="0.25">
      <c r="B117" s="9"/>
      <c r="C117" s="43" t="s">
        <v>103</v>
      </c>
      <c r="D117" s="42"/>
      <c r="E117" s="42"/>
      <c r="F117" s="42"/>
      <c r="G117" s="42"/>
      <c r="H117" s="42"/>
      <c r="I117" s="42"/>
      <c r="J117" s="42"/>
    </row>
    <row r="118" spans="1:12" ht="13.5" thickBot="1" x14ac:dyDescent="0.25">
      <c r="B118" s="9"/>
      <c r="C118" s="42" t="s">
        <v>102</v>
      </c>
      <c r="D118" s="42"/>
      <c r="E118" s="42"/>
      <c r="F118" s="42"/>
      <c r="G118" s="42"/>
      <c r="H118" s="42"/>
      <c r="I118" s="42"/>
      <c r="J118" s="42"/>
    </row>
    <row r="119" spans="1:12" x14ac:dyDescent="0.2">
      <c r="A119" s="307" t="s">
        <v>94</v>
      </c>
      <c r="B119" s="277"/>
      <c r="C119" s="41"/>
      <c r="D119" s="40" t="s">
        <v>101</v>
      </c>
      <c r="E119" s="25"/>
      <c r="F119" s="25" t="s">
        <v>100</v>
      </c>
      <c r="G119" s="25"/>
      <c r="H119" s="25"/>
      <c r="I119" s="24"/>
      <c r="J119" s="23"/>
      <c r="K119" s="23"/>
      <c r="L119" s="22"/>
    </row>
    <row r="120" spans="1:12" ht="13.5" thickBot="1" x14ac:dyDescent="0.25">
      <c r="A120" s="308"/>
      <c r="B120" s="301"/>
      <c r="C120" s="39">
        <v>0.5</v>
      </c>
      <c r="D120" s="20">
        <v>0.75</v>
      </c>
      <c r="E120" s="20">
        <v>1</v>
      </c>
      <c r="F120" s="20">
        <v>1.25</v>
      </c>
      <c r="G120" s="20">
        <v>1.5</v>
      </c>
      <c r="H120" s="20">
        <v>2</v>
      </c>
      <c r="I120" s="20">
        <v>2.5</v>
      </c>
      <c r="J120" s="20">
        <v>3</v>
      </c>
      <c r="K120" s="20">
        <v>4</v>
      </c>
      <c r="L120" s="19">
        <v>6</v>
      </c>
    </row>
    <row r="121" spans="1:12" x14ac:dyDescent="0.2">
      <c r="A121" s="275">
        <v>125</v>
      </c>
      <c r="B121" s="277"/>
      <c r="C121" s="38" t="str">
        <f t="shared" ref="C121:I121" si="35">IF(C98="NA","NA",C98^2*0.0408*100)</f>
        <v>NA</v>
      </c>
      <c r="D121" s="37" t="str">
        <f t="shared" si="35"/>
        <v>NA</v>
      </c>
      <c r="E121" s="37" t="str">
        <f t="shared" si="35"/>
        <v>NA</v>
      </c>
      <c r="F121" s="37">
        <f t="shared" si="35"/>
        <v>9.7769203200000021</v>
      </c>
      <c r="G121" s="37">
        <f t="shared" si="35"/>
        <v>12.985236480000001</v>
      </c>
      <c r="H121" s="37">
        <f t="shared" si="35"/>
        <v>20.271239280000003</v>
      </c>
      <c r="I121" s="240" t="str">
        <f t="shared" si="35"/>
        <v>NA</v>
      </c>
      <c r="J121" s="37">
        <f t="shared" ref="J121:L126" si="36">J98^2*0.0408*100</f>
        <v>44.001396479999997</v>
      </c>
      <c r="K121" s="37">
        <f t="shared" si="36"/>
        <v>72.796078080000015</v>
      </c>
      <c r="L121" s="36">
        <f t="shared" si="36"/>
        <v>157.69644312</v>
      </c>
    </row>
    <row r="122" spans="1:12" x14ac:dyDescent="0.2">
      <c r="A122" s="305">
        <v>160</v>
      </c>
      <c r="B122" s="279"/>
      <c r="C122" s="35" t="str">
        <f>IF(C99="NA","NA",C99^2*0.0408*100)</f>
        <v>NA</v>
      </c>
      <c r="D122" s="34" t="str">
        <f>IF(D99="NA","NA",D99^2*0.0408*100)</f>
        <v>NA</v>
      </c>
      <c r="E122" s="34" t="str">
        <f>IF(E99="NA","NA",E99^2*0.0408*100)</f>
        <v>NA</v>
      </c>
      <c r="F122" s="34">
        <f t="shared" ref="F122:I126" si="37">F99^2*0.0408*100</f>
        <v>9.5758579200000007</v>
      </c>
      <c r="G122" s="34">
        <f t="shared" si="37"/>
        <v>12.55218528</v>
      </c>
      <c r="H122" s="34">
        <f t="shared" si="37"/>
        <v>19.621735920000003</v>
      </c>
      <c r="I122" s="241">
        <f t="shared" si="37"/>
        <v>28.760021999999996</v>
      </c>
      <c r="J122" s="34">
        <f t="shared" si="36"/>
        <v>42.566232000000007</v>
      </c>
      <c r="K122" s="34">
        <f t="shared" si="36"/>
        <v>70.403321280000014</v>
      </c>
      <c r="L122" s="33">
        <f t="shared" si="36"/>
        <v>152.564358</v>
      </c>
    </row>
    <row r="123" spans="1:12" ht="13.5" thickBot="1" x14ac:dyDescent="0.25">
      <c r="A123" s="300">
        <v>200</v>
      </c>
      <c r="B123" s="301"/>
      <c r="C123" s="242" t="str">
        <f>IF(C100="NA","NA",C100^2*0.0408*100)</f>
        <v>NA</v>
      </c>
      <c r="D123" s="243">
        <f t="shared" ref="D123:E126" si="38">D100^2*0.0408*100</f>
        <v>3.5287920000000006</v>
      </c>
      <c r="E123" s="243">
        <f t="shared" si="38"/>
        <v>5.767981680000001</v>
      </c>
      <c r="F123" s="243">
        <f t="shared" si="37"/>
        <v>9.2044963200000005</v>
      </c>
      <c r="G123" s="243">
        <f t="shared" si="37"/>
        <v>12.070271999999999</v>
      </c>
      <c r="H123" s="243">
        <f t="shared" si="37"/>
        <v>18.842260079999999</v>
      </c>
      <c r="I123" s="31">
        <f t="shared" si="37"/>
        <v>27.602020079999999</v>
      </c>
      <c r="J123" s="31">
        <f t="shared" si="36"/>
        <v>40.896108479999995</v>
      </c>
      <c r="K123" s="31">
        <f t="shared" si="36"/>
        <v>67.651230720000015</v>
      </c>
      <c r="L123" s="30">
        <f t="shared" si="36"/>
        <v>146.53747992000001</v>
      </c>
    </row>
    <row r="124" spans="1:12" x14ac:dyDescent="0.2">
      <c r="A124" s="275">
        <v>315</v>
      </c>
      <c r="B124" s="277"/>
      <c r="C124" s="38">
        <f>C101^2*0.0408*100</f>
        <v>2.09163648</v>
      </c>
      <c r="D124" s="37">
        <f t="shared" si="38"/>
        <v>3.2608828800000005</v>
      </c>
      <c r="E124" s="37">
        <f t="shared" si="38"/>
        <v>5.1270952799999998</v>
      </c>
      <c r="F124" s="37">
        <f t="shared" si="37"/>
        <v>8.1575356800000005</v>
      </c>
      <c r="G124" s="37">
        <f t="shared" si="37"/>
        <v>10.681129920000004</v>
      </c>
      <c r="H124" s="37">
        <f t="shared" si="37"/>
        <v>16.697518320000004</v>
      </c>
      <c r="I124" s="37">
        <f t="shared" si="37"/>
        <v>24.47021208</v>
      </c>
      <c r="J124" s="37">
        <f t="shared" si="36"/>
        <v>35.795651520000007</v>
      </c>
      <c r="K124" s="37">
        <f t="shared" si="36"/>
        <v>59.974188480000009</v>
      </c>
      <c r="L124" s="36">
        <f t="shared" si="36"/>
        <v>129.92127192000001</v>
      </c>
    </row>
    <row r="125" spans="1:12" x14ac:dyDescent="0.2">
      <c r="A125" s="305">
        <v>40</v>
      </c>
      <c r="B125" s="279"/>
      <c r="C125" s="35">
        <f>C102^2*0.0408*100</f>
        <v>1.5784867200000001</v>
      </c>
      <c r="D125" s="34">
        <f t="shared" si="38"/>
        <v>2.7702220799999999</v>
      </c>
      <c r="E125" s="34">
        <f t="shared" si="38"/>
        <v>4.4896360800000004</v>
      </c>
      <c r="F125" s="34">
        <f t="shared" si="37"/>
        <v>7.7699519999999991</v>
      </c>
      <c r="G125" s="34">
        <f t="shared" si="37"/>
        <v>10.575768000000002</v>
      </c>
      <c r="H125" s="34">
        <f t="shared" si="37"/>
        <v>17.431755120000005</v>
      </c>
      <c r="I125" s="34">
        <f t="shared" si="37"/>
        <v>24.871520879999998</v>
      </c>
      <c r="J125" s="34">
        <f t="shared" si="36"/>
        <v>38.403505920000008</v>
      </c>
      <c r="K125" s="34">
        <f t="shared" si="36"/>
        <v>66.131398079999997</v>
      </c>
      <c r="L125" s="33">
        <f t="shared" si="36"/>
        <v>150.07963800000005</v>
      </c>
    </row>
    <row r="126" spans="1:12" ht="13.5" thickBot="1" x14ac:dyDescent="0.25">
      <c r="A126" s="300">
        <v>80</v>
      </c>
      <c r="B126" s="301"/>
      <c r="C126" s="32">
        <f>C103^2*0.0408*100</f>
        <v>1.2163132800000003</v>
      </c>
      <c r="D126" s="31">
        <f t="shared" si="38"/>
        <v>2.24630112</v>
      </c>
      <c r="E126" s="31">
        <f t="shared" si="38"/>
        <v>3.7366639199999998</v>
      </c>
      <c r="F126" s="31">
        <f t="shared" si="37"/>
        <v>6.66379872</v>
      </c>
      <c r="G126" s="31">
        <f t="shared" si="37"/>
        <v>9.1800000000000015</v>
      </c>
      <c r="H126" s="31">
        <f t="shared" si="37"/>
        <v>15.339661680000003</v>
      </c>
      <c r="I126" s="31">
        <f t="shared" si="37"/>
        <v>22.017022320000002</v>
      </c>
      <c r="J126" s="31">
        <f t="shared" si="36"/>
        <v>34.312800000000003</v>
      </c>
      <c r="K126" s="31">
        <f t="shared" si="36"/>
        <v>59.72416608000001</v>
      </c>
      <c r="L126" s="30">
        <f t="shared" si="36"/>
        <v>135.41161368000002</v>
      </c>
    </row>
    <row r="127" spans="1:12" ht="14.25" x14ac:dyDescent="0.2">
      <c r="B127" s="9"/>
      <c r="E127" t="s">
        <v>99</v>
      </c>
      <c r="H127" t="s">
        <v>98</v>
      </c>
    </row>
    <row r="128" spans="1:12" ht="14.25" x14ac:dyDescent="0.2">
      <c r="B128" s="9"/>
      <c r="E128" s="29" t="s">
        <v>97</v>
      </c>
      <c r="H128" t="s">
        <v>96</v>
      </c>
    </row>
    <row r="129" spans="2:8" x14ac:dyDescent="0.2">
      <c r="B129" s="9"/>
      <c r="H129" t="s">
        <v>95</v>
      </c>
    </row>
  </sheetData>
  <sheetProtection password="80D2" sheet="1" objects="1" scenarios="1"/>
  <mergeCells count="41">
    <mergeCell ref="O7:P7"/>
    <mergeCell ref="I43:K43"/>
    <mergeCell ref="L43:N43"/>
    <mergeCell ref="L6:N6"/>
    <mergeCell ref="O44:P44"/>
    <mergeCell ref="O6:Q6"/>
    <mergeCell ref="O43:Q43"/>
    <mergeCell ref="L7:M7"/>
    <mergeCell ref="L44:M44"/>
    <mergeCell ref="C43:E43"/>
    <mergeCell ref="F43:H43"/>
    <mergeCell ref="F44:G44"/>
    <mergeCell ref="A125:B125"/>
    <mergeCell ref="A123:B123"/>
    <mergeCell ref="A119:B120"/>
    <mergeCell ref="A126:B126"/>
    <mergeCell ref="A80:B80"/>
    <mergeCell ref="A103:B103"/>
    <mergeCell ref="A98:B98"/>
    <mergeCell ref="A99:B99"/>
    <mergeCell ref="A100:B100"/>
    <mergeCell ref="A102:B102"/>
    <mergeCell ref="A124:B124"/>
    <mergeCell ref="A122:B122"/>
    <mergeCell ref="A96:B97"/>
    <mergeCell ref="C7:D7"/>
    <mergeCell ref="A101:B101"/>
    <mergeCell ref="A121:B121"/>
    <mergeCell ref="A44:B44"/>
    <mergeCell ref="C1:I1"/>
    <mergeCell ref="C107:E108"/>
    <mergeCell ref="F107:H108"/>
    <mergeCell ref="I107:K108"/>
    <mergeCell ref="I6:K6"/>
    <mergeCell ref="C6:E6"/>
    <mergeCell ref="C44:D44"/>
    <mergeCell ref="F6:H6"/>
    <mergeCell ref="I7:J7"/>
    <mergeCell ref="I44:J44"/>
    <mergeCell ref="F7:G7"/>
    <mergeCell ref="A7:B7"/>
  </mergeCells>
  <phoneticPr fontId="0" type="noConversion"/>
  <pageMargins left="0.5" right="0.5" top="0.5" bottom="0.5" header="0.25" footer="0.25"/>
  <pageSetup scale="74" fitToHeight="0" orientation="landscape" r:id="rId1"/>
  <headerFooter alignWithMargins="0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Calculations</vt:lpstr>
      <vt:lpstr>Notes, Instructions</vt:lpstr>
      <vt:lpstr>Tables</vt:lpstr>
      <vt:lpstr>Alert</vt:lpstr>
      <vt:lpstr>Calculations!Print_Area</vt:lpstr>
      <vt:lpstr>'Notes, Instructions'!Print_Area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Cable, Lora</dc:creator>
  <cp:lastModifiedBy>Bestgen, Brent</cp:lastModifiedBy>
  <cp:lastPrinted>2009-11-10T14:05:43Z</cp:lastPrinted>
  <dcterms:created xsi:type="dcterms:W3CDTF">2006-10-09T23:51:38Z</dcterms:created>
  <dcterms:modified xsi:type="dcterms:W3CDTF">2023-04-14T21:19:24Z</dcterms:modified>
</cp:coreProperties>
</file>